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llo\Dropbox (Ovium)\Ovium drive\Clients\IEF Capital\2014 Restructuring\Noteholders\InfoPack Extended 21 March 2014\"/>
    </mc:Choice>
  </mc:AlternateContent>
  <bookViews>
    <workbookView xWindow="480" yWindow="156" windowWidth="18192" windowHeight="11076" tabRatio="796" activeTab="2"/>
  </bookViews>
  <sheets>
    <sheet name="Disclaimer &amp; Usage suggestions" sheetId="3" r:id="rId1"/>
    <sheet name="Overview Properties" sheetId="6" r:id="rId2"/>
    <sheet name="Simplified Model"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20" localSheetId="2">#REF!</definedName>
    <definedName name="________DAT20">#REF!</definedName>
    <definedName name="________DAT21" localSheetId="2">#REF!</definedName>
    <definedName name="________DAT21">#REF!</definedName>
    <definedName name="________DAT22" localSheetId="2">#REF!</definedName>
    <definedName name="________DAT22">#REF!</definedName>
    <definedName name="________DAT23" localSheetId="2">#REF!</definedName>
    <definedName name="________DAT23">#REF!</definedName>
    <definedName name="________DAT24" localSheetId="2">#REF!</definedName>
    <definedName name="________DAT24">#REF!</definedName>
    <definedName name="________DAT25" localSheetId="2">#REF!</definedName>
    <definedName name="________DAT25">#REF!</definedName>
    <definedName name="________DAT26" localSheetId="2">#REF!</definedName>
    <definedName name="________DAT26">#REF!</definedName>
    <definedName name="________DAT27" localSheetId="2">#REF!</definedName>
    <definedName name="________DAT27">#REF!</definedName>
    <definedName name="________DAT28" localSheetId="2">#REF!</definedName>
    <definedName name="________DAT28">#REF!</definedName>
    <definedName name="________DAT29" localSheetId="2">#REF!</definedName>
    <definedName name="________DAT29">#REF!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20" localSheetId="2">#REF!</definedName>
    <definedName name="_______DAT20">#REF!</definedName>
    <definedName name="_______DAT21" localSheetId="2">#REF!</definedName>
    <definedName name="_______DAT21">#REF!</definedName>
    <definedName name="_______DAT22" localSheetId="2">#REF!</definedName>
    <definedName name="_______DAT22">#REF!</definedName>
    <definedName name="_______DAT23" localSheetId="2">#REF!</definedName>
    <definedName name="_______DAT23">#REF!</definedName>
    <definedName name="_______DAT24" localSheetId="2">#REF!</definedName>
    <definedName name="_______DAT24">#REF!</definedName>
    <definedName name="_______DAT25" localSheetId="2">#REF!</definedName>
    <definedName name="_______DAT25">#REF!</definedName>
    <definedName name="_______DAT26" localSheetId="2">#REF!</definedName>
    <definedName name="_______DAT26">#REF!</definedName>
    <definedName name="_______DAT27" localSheetId="2">#REF!</definedName>
    <definedName name="_______DAT27">#REF!</definedName>
    <definedName name="_______DAT28" localSheetId="2">#REF!</definedName>
    <definedName name="_______DAT28">#REF!</definedName>
    <definedName name="_______DAT29" localSheetId="2">#REF!</definedName>
    <definedName name="_______DAT29">#REF!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20" localSheetId="2">#REF!</definedName>
    <definedName name="_____DAT20">#REF!</definedName>
    <definedName name="_____DAT21" localSheetId="2">#REF!</definedName>
    <definedName name="_____DAT21">#REF!</definedName>
    <definedName name="_____DAT22" localSheetId="2">#REF!</definedName>
    <definedName name="_____DAT22">#REF!</definedName>
    <definedName name="_____DAT23" localSheetId="2">#REF!</definedName>
    <definedName name="_____DAT23">#REF!</definedName>
    <definedName name="_____DAT24" localSheetId="2">#REF!</definedName>
    <definedName name="_____DAT24">#REF!</definedName>
    <definedName name="_____DAT25" localSheetId="2">#REF!</definedName>
    <definedName name="_____DAT25">#REF!</definedName>
    <definedName name="_____DAT26" localSheetId="2">#REF!</definedName>
    <definedName name="_____DAT26">#REF!</definedName>
    <definedName name="_____DAT27" localSheetId="2">#REF!</definedName>
    <definedName name="_____DAT27">#REF!</definedName>
    <definedName name="_____DAT28" localSheetId="2">#REF!</definedName>
    <definedName name="_____DAT28">#REF!</definedName>
    <definedName name="_____DAT29" localSheetId="2">#REF!</definedName>
    <definedName name="_____DAT29">#REF!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irr2">[1]Taxatie!$L$56</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25" localSheetId="2">#REF!</definedName>
    <definedName name="___DAT25">#REF!</definedName>
    <definedName name="___DAT26" localSheetId="2">#REF!</definedName>
    <definedName name="___DAT26">#REF!</definedName>
    <definedName name="___DAT27" localSheetId="2">#REF!</definedName>
    <definedName name="___DAT27">#REF!</definedName>
    <definedName name="___DAT28" localSheetId="2">#REF!</definedName>
    <definedName name="___DAT28">#REF!</definedName>
    <definedName name="___DAT29" localSheetId="2">#REF!</definedName>
    <definedName name="___DAT29">#REF!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irr2">[1]Taxatie!$L$56</definedName>
    <definedName name="__irr2">[1]Taxatie!$L$56</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25" localSheetId="2">#REF!</definedName>
    <definedName name="_DAT25">#REF!</definedName>
    <definedName name="_DAT26" localSheetId="2">#REF!</definedName>
    <definedName name="_DAT26">#REF!</definedName>
    <definedName name="_DAT27" localSheetId="2">#REF!</definedName>
    <definedName name="_DAT27">#REF!</definedName>
    <definedName name="_DAT28" localSheetId="2">#REF!</definedName>
    <definedName name="_DAT28">#REF!</definedName>
    <definedName name="_DAT29" localSheetId="2">#REF!</definedName>
    <definedName name="_DAT29">#REF!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irr2">[2]Taxatie!$L$56</definedName>
    <definedName name="aaalevels" localSheetId="2">#REF!</definedName>
    <definedName name="aaalevels">#REF!</definedName>
    <definedName name="Aandelen_Kapitaal" localSheetId="2">#REF!</definedName>
    <definedName name="Aandelen_Kapitaal">#REF!</definedName>
    <definedName name="aantal.huurders">[2]Lasten!$C$9</definedName>
    <definedName name="Addresses" localSheetId="2">#REF!</definedName>
    <definedName name="Addresses">#REF!</definedName>
    <definedName name="amortisation" localSheetId="2">#REF!</definedName>
    <definedName name="amortisation">#REF!</definedName>
    <definedName name="answer" localSheetId="2">[3]voorblad!#REF!</definedName>
    <definedName name="answer">[3]voorblad!#REF!</definedName>
    <definedName name="AS2DocOpenMode" hidden="1">"AS2DocumentBrowse"</definedName>
    <definedName name="bank" localSheetId="2">#REF!</definedName>
    <definedName name="bank">#REF!</definedName>
    <definedName name="Bankdetails" localSheetId="2">#REF!</definedName>
    <definedName name="Bankdetails">#REF!</definedName>
    <definedName name="Beg_Bal" localSheetId="2">#REF!</definedName>
    <definedName name="Beg_Bal">#REF!</definedName>
    <definedName name="bouwjaar">[2]Info!$B$43</definedName>
    <definedName name="cap" localSheetId="2">#REF!</definedName>
    <definedName name="cap">#REF!</definedName>
    <definedName name="Check_CF_tekort" localSheetId="2">#REF!</definedName>
    <definedName name="Check_CF_tekort">#REF!</definedName>
    <definedName name="Check_DefitRepayment" localSheetId="2">#REF!</definedName>
    <definedName name="Check_DefitRepayment">#REF!</definedName>
    <definedName name="cw">[2]Taxatie!$E$53</definedName>
    <definedName name="d" localSheetId="2">IF('Simplified Model'!Loan_Amount*'Simplified Model'!Interest_Rate*'Simplified Model'!Loan_Years*'Simplified Model'!Loan_Start&gt;0,1,0)</definedName>
    <definedName name="d">IF(Loan_Amount*Interest_Rate*Loan_Years*Loan_Start&gt;0,1,0)</definedName>
    <definedName name="Data" localSheetId="2">#REF!</definedName>
    <definedName name="Data">#REF!</definedName>
    <definedName name="Data_Types" localSheetId="2">#REF!</definedName>
    <definedName name="Data_Types">#REF!</definedName>
    <definedName name="DATA1" localSheetId="2">#REF!</definedName>
    <definedName name="DATA1">#REF!</definedName>
    <definedName name="DATA10" localSheetId="2">#REF!</definedName>
    <definedName name="DATA10">#REF!</definedName>
    <definedName name="DATA11" localSheetId="2">#REF!</definedName>
    <definedName name="DATA11">#REF!</definedName>
    <definedName name="DATA12" localSheetId="2">#REF!</definedName>
    <definedName name="DATA12">#REF!</definedName>
    <definedName name="DATA13" localSheetId="2">#REF!</definedName>
    <definedName name="DATA13">#REF!</definedName>
    <definedName name="DATA2" localSheetId="2">#REF!</definedName>
    <definedName name="DATA2">#REF!</definedName>
    <definedName name="DATA3" localSheetId="2">#REF!</definedName>
    <definedName name="DATA3">#REF!</definedName>
    <definedName name="DATA4" localSheetId="2">#REF!</definedName>
    <definedName name="DATA4">#REF!</definedName>
    <definedName name="DATA5" localSheetId="2">#REF!</definedName>
    <definedName name="DATA5">#REF!</definedName>
    <definedName name="DATA6" localSheetId="2">#REF!</definedName>
    <definedName name="DATA6">#REF!</definedName>
    <definedName name="DATA7" localSheetId="2">#REF!</definedName>
    <definedName name="DATA7">#REF!</definedName>
    <definedName name="DATA8" localSheetId="2">#REF!</definedName>
    <definedName name="DATA8">#REF!</definedName>
    <definedName name="DATA9" localSheetId="2">#REF!</definedName>
    <definedName name="DATA9">#REF!</definedName>
    <definedName name="default_Probability" localSheetId="2">#REF!</definedName>
    <definedName name="default_Probability">#REF!</definedName>
    <definedName name="Discountdetails" localSheetId="2">#REF!</definedName>
    <definedName name="Discountdetails">#REF!</definedName>
    <definedName name="DME_BeforeCloseCompleted" hidden="1">"Onwaar"</definedName>
    <definedName name="DME_LocalFile" hidden="1">"Waar"</definedName>
    <definedName name="draaitabel" localSheetId="2">#REF!</definedName>
    <definedName name="draaitabel">#REF!</definedName>
    <definedName name="DSCR" localSheetId="2">#REF!</definedName>
    <definedName name="DSCR">#REF!</definedName>
    <definedName name="DSCR_cover" localSheetId="2">#REF!</definedName>
    <definedName name="DSCR_cover">#REF!</definedName>
    <definedName name="e" localSheetId="2">IF('Simplified Model'!Loan_Amount*'Simplified Model'!Interest_Rate*'Simplified Model'!Loan_Years*'Simplified Model'!Loan_Start&gt;0,1,0)</definedName>
    <definedName name="e">IF(Loan_Amount*Interest_Rate*Loan_Years*Loan_Start&gt;0,1,0)</definedName>
    <definedName name="EHW">[2]Eindwaarde!$D$9</definedName>
    <definedName name="End_Bal" localSheetId="2">#REF!</definedName>
    <definedName name="End_Bal">#REF!</definedName>
    <definedName name="erv" localSheetId="2">#REF!</definedName>
    <definedName name="erv">#REF!</definedName>
    <definedName name="Ervo1">[4]checkpage!$O$4:$P$76</definedName>
    <definedName name="EV__LASTREFTIME__" hidden="1">40015.4363194444</definedName>
    <definedName name="Excel_BuiltIn_Print_Area_4" localSheetId="2">#REF!</definedName>
    <definedName name="Excel_BuiltIn_Print_Area_4">#REF!</definedName>
    <definedName name="exiratie" localSheetId="2">#REF!</definedName>
    <definedName name="exiratie">#REF!</definedName>
    <definedName name="exiterfpacht">[2]Grond!$F$17</definedName>
    <definedName name="exitwaarde.von">[2]Eindwaarde!$L$27</definedName>
    <definedName name="Extra_Pay" localSheetId="2">#REF!</definedName>
    <definedName name="Extra_Pay">#REF!</definedName>
    <definedName name="f" localSheetId="2">OFFSET('Simplified Model'!Full_Print,0,0,'Simplified Model'!Last_Row)</definedName>
    <definedName name="f">OFFSET(Full_Print,0,0,Last_Row)</definedName>
    <definedName name="ff" localSheetId="2">IF('Simplified Model'!Loan_Amount*'Simplified Model'!Interest_Rate*'Simplified Model'!Loan_Years*'Simplified Model'!Loan_Start&gt;0,1,0)</definedName>
    <definedName name="ff">IF(Loan_Amount*Interest_Rate*Loan_Years*Loan_Start&gt;0,1,0)</definedName>
    <definedName name="fitchfactor" localSheetId="2">#REF!</definedName>
    <definedName name="fitchfactor">#REF!</definedName>
    <definedName name="Full_Print" localSheetId="2">#REF!</definedName>
    <definedName name="Full_Print">#REF!</definedName>
    <definedName name="Groups" localSheetId="2">#REF!</definedName>
    <definedName name="Groups">#REF!</definedName>
    <definedName name="Header_Row" localSheetId="2">ROW(#REF!)</definedName>
    <definedName name="Header_Row">ROW(#REF!)</definedName>
    <definedName name="hoexleeg">[2]Taxatie!$D$216</definedName>
    <definedName name="hs">[2]Info!$E$48</definedName>
    <definedName name="huurgroei" localSheetId="2">[5]berekening!#REF!</definedName>
    <definedName name="huurgroei">[5]berekening!#REF!</definedName>
    <definedName name="huuropbrengst">[2]Taxatie!$L$22</definedName>
    <definedName name="huurwaarde">[2]Taxatie!$L$21</definedName>
    <definedName name="hwleeg">[2]Taxatie!$E$215</definedName>
    <definedName name="Int" localSheetId="2">#REF!</definedName>
    <definedName name="Int">#REF!</definedName>
    <definedName name="Interest_Rate" localSheetId="2">#REF!</definedName>
    <definedName name="Interest_Rate">#REF!</definedName>
    <definedName name="IRR.2">[2]A!$D$43</definedName>
    <definedName name="Last_Row" localSheetId="2">IF('Simplified Model'!Values_Entered,'Simplified Model'!Header_Row+'Simplified Model'!Number_of_Payments,'Simplified Model'!Header_Row)</definedName>
    <definedName name="Last_Row">IF(Values_Entered,Header_Row+Number_of_Payments,Header_Row)</definedName>
    <definedName name="lease_period" localSheetId="2">#REF!</definedName>
    <definedName name="lease_period">#REF!</definedName>
    <definedName name="leeway" localSheetId="2">#REF!</definedName>
    <definedName name="leeway">#REF!</definedName>
    <definedName name="ligging.2">[2]Info!$F$37</definedName>
    <definedName name="Loan_Amount" localSheetId="2">#REF!</definedName>
    <definedName name="Loan_Amount">#REF!</definedName>
    <definedName name="loan_ID_list">'[6]Loan Data'!$A$5:$A$500</definedName>
    <definedName name="Loan_Start" localSheetId="2">#REF!</definedName>
    <definedName name="Loan_Start">#REF!</definedName>
    <definedName name="Loan_Years" localSheetId="2">#REF!</definedName>
    <definedName name="Loan_Years">#REF!</definedName>
    <definedName name="Loannumname">'[7]Loan Data'!$A$5:$B$22</definedName>
    <definedName name="LTV" localSheetId="2">#REF!</definedName>
    <definedName name="LTV">#REF!</definedName>
    <definedName name="marktwaarde">[2]Taxatie!$L$256</definedName>
    <definedName name="max_period_count" localSheetId="2">#REF!</definedName>
    <definedName name="max_period_count">#REF!</definedName>
    <definedName name="Media" localSheetId="2">#REF!</definedName>
    <definedName name="Media">#REF!</definedName>
    <definedName name="MinCapRate">[7]Assumptions!$B$7</definedName>
    <definedName name="nar">[2]Taxatie!$K$225</definedName>
    <definedName name="Num_Pmt_Per_Year" localSheetId="2">#REF!</definedName>
    <definedName name="Num_Pmt_Per_Year">#REF!</definedName>
    <definedName name="Number_of_Payments" localSheetId="2">MATCH(0.01,'Simplified Model'!End_Bal,-1)+1</definedName>
    <definedName name="Number_of_Payments">MATCH(0.01,End_Bal,-1)+1</definedName>
    <definedName name="object">[2]Info!$B$10</definedName>
    <definedName name="object1" localSheetId="2">#REF!</definedName>
    <definedName name="object1">#REF!</definedName>
    <definedName name="object10" localSheetId="2">#REF!</definedName>
    <definedName name="object10">#REF!</definedName>
    <definedName name="object11" localSheetId="2">#REF!</definedName>
    <definedName name="object11">#REF!</definedName>
    <definedName name="object12" localSheetId="2">#REF!</definedName>
    <definedName name="object12">#REF!</definedName>
    <definedName name="object13" localSheetId="2">#REF!</definedName>
    <definedName name="object13">#REF!</definedName>
    <definedName name="object14" localSheetId="2">#REF!</definedName>
    <definedName name="object14">#REF!</definedName>
    <definedName name="object15" localSheetId="2">#REF!</definedName>
    <definedName name="object15">#REF!</definedName>
    <definedName name="object2" localSheetId="2">#REF!</definedName>
    <definedName name="object2">#REF!</definedName>
    <definedName name="object3" localSheetId="2">#REF!</definedName>
    <definedName name="object3">#REF!</definedName>
    <definedName name="object4" localSheetId="2">#REF!</definedName>
    <definedName name="object4">#REF!</definedName>
    <definedName name="object5" localSheetId="2">#REF!</definedName>
    <definedName name="object5">#REF!</definedName>
    <definedName name="object6" localSheetId="2">#REF!</definedName>
    <definedName name="object6">#REF!</definedName>
    <definedName name="object7" localSheetId="2">#REF!</definedName>
    <definedName name="object7">#REF!</definedName>
    <definedName name="object8" localSheetId="2">#REF!</definedName>
    <definedName name="object8">#REF!</definedName>
    <definedName name="object9" localSheetId="2">#REF!</definedName>
    <definedName name="object9">#REF!</definedName>
    <definedName name="Originating_Office">'[8]Validation Lists'!$AR$4:$AR$7</definedName>
    <definedName name="Pay_Date" localSheetId="2">#REF!</definedName>
    <definedName name="Pay_Date">#REF!</definedName>
    <definedName name="pay_frq" localSheetId="2">#REF!</definedName>
    <definedName name="pay_frq">#REF!</definedName>
    <definedName name="Pay_Num" localSheetId="2">#REF!</definedName>
    <definedName name="Pay_Num">#REF!</definedName>
    <definedName name="pay_start" localSheetId="2">#REF!</definedName>
    <definedName name="pay_start">#REF!</definedName>
    <definedName name="Payment_Date">#N/A</definedName>
    <definedName name="peil">[2]Info!$B$30</definedName>
    <definedName name="peildatum" localSheetId="2">[9]Sheet1!#REF!</definedName>
    <definedName name="peildatum">[9]Sheet1!#REF!</definedName>
    <definedName name="plaats">[2]Info!$B$16</definedName>
    <definedName name="pp">[2]Taxatie!$J$72</definedName>
    <definedName name="Princ" localSheetId="2">#REF!</definedName>
    <definedName name="Princ">#REF!</definedName>
    <definedName name="_xlnm.Print_Area" localSheetId="1">'Overview Properties'!$A$1:$P$168</definedName>
    <definedName name="_xlnm.Print_Area" localSheetId="2">'Simplified Model'!$A$1:$N$226</definedName>
    <definedName name="Print_Area_Reset" localSheetId="2">OFFSET('Simplified Model'!Full_Print,0,0,'Simplified Model'!Last_Row)</definedName>
    <definedName name="Print_Area_Reset">OFFSET(Full_Print,0,0,Last_Row)</definedName>
    <definedName name="_xlnm.Print_Titles" localSheetId="2">'Simplified Model'!$1:$6</definedName>
    <definedName name="provincie">[2]A!$F$144</definedName>
    <definedName name="Renteregime" localSheetId="2">#REF!</definedName>
    <definedName name="Renteregime">#REF!</definedName>
    <definedName name="restduur.1">[2]A!$S$227</definedName>
    <definedName name="restduur.2">[2]A!$S$229</definedName>
    <definedName name="rietveld" localSheetId="2">#REF!</definedName>
    <definedName name="rietveld">#REF!</definedName>
    <definedName name="RightLeftLists" localSheetId="2">#REF!</definedName>
    <definedName name="RightLeftLists">#REF!</definedName>
    <definedName name="ROZIPD.t82">[2]Taxatie!$N$379</definedName>
    <definedName name="Sched_Pay" localSheetId="2">#REF!</definedName>
    <definedName name="Sched_Pay">#REF!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heet_names_range">[10]DataTypes!$A$4:$B$12</definedName>
    <definedName name="straat">[2]Info!$B$14</definedName>
    <definedName name="SwptnVol" localSheetId="2">[11]ImportData!#REF!</definedName>
    <definedName name="SwptnVol">[11]ImportData!#REF!</definedName>
    <definedName name="TargetClose" localSheetId="2">#REF!</definedName>
    <definedName name="TargetClose">#REF!</definedName>
    <definedName name="tenant_stay_table" localSheetId="2">#REF!</definedName>
    <definedName name="tenant_stay_table">#REF!</definedName>
    <definedName name="tenant01" localSheetId="2">#REF!</definedName>
    <definedName name="tenant01">#REF!</definedName>
    <definedName name="TEST0" localSheetId="2">#REF!</definedName>
    <definedName name="TEST0">#REF!</definedName>
    <definedName name="TEST1" localSheetId="2">#REF!</definedName>
    <definedName name="TEST1">#REF!</definedName>
    <definedName name="TEST10" localSheetId="2">#REF!</definedName>
    <definedName name="TEST10">#REF!</definedName>
    <definedName name="TEST11" localSheetId="2">#REF!</definedName>
    <definedName name="TEST11">#REF!</definedName>
    <definedName name="TEST12" localSheetId="2">#REF!</definedName>
    <definedName name="TEST12">#REF!</definedName>
    <definedName name="TEST13" localSheetId="2">#REF!</definedName>
    <definedName name="TEST13">#REF!</definedName>
    <definedName name="TEST14" localSheetId="2">#REF!</definedName>
    <definedName name="TEST14">#REF!</definedName>
    <definedName name="TEST15" localSheetId="2">#REF!</definedName>
    <definedName name="TEST15">#REF!</definedName>
    <definedName name="TEST16" localSheetId="2">#REF!</definedName>
    <definedName name="TEST16">#REF!</definedName>
    <definedName name="TEST2" localSheetId="2">#REF!</definedName>
    <definedName name="TEST2">#REF!</definedName>
    <definedName name="TEST3" localSheetId="2">#REF!</definedName>
    <definedName name="TEST3">#REF!</definedName>
    <definedName name="TEST4" localSheetId="2">#REF!</definedName>
    <definedName name="TEST4">#REF!</definedName>
    <definedName name="TEST5" localSheetId="2">#REF!</definedName>
    <definedName name="TEST5">#REF!</definedName>
    <definedName name="TEST6" localSheetId="2">#REF!</definedName>
    <definedName name="TEST6">#REF!</definedName>
    <definedName name="TEST7" localSheetId="2">#REF!</definedName>
    <definedName name="TEST7">#REF!</definedName>
    <definedName name="TEST8" localSheetId="2">#REF!</definedName>
    <definedName name="TEST8">#REF!</definedName>
    <definedName name="TEST9" localSheetId="2">#REF!</definedName>
    <definedName name="TEST9">#REF!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extRefCopy1" localSheetId="2">#REF!</definedName>
    <definedName name="TextRefCopy1">#REF!</definedName>
    <definedName name="TextRefCopy2" localSheetId="2">'[12]bepaling vrijval'!#REF!</definedName>
    <definedName name="TextRefCopy2">'[12]bepaling vrijval'!#REF!</definedName>
    <definedName name="TextRefCopyRangeCount" hidden="1">4</definedName>
    <definedName name="Total_Interest" localSheetId="2">#REF!</definedName>
    <definedName name="Total_Interest">#REF!</definedName>
    <definedName name="Total_Pay" localSheetId="2">#REF!</definedName>
    <definedName name="Total_Pay">#REF!</definedName>
    <definedName name="Total_Payment">#NAME?+#NAME?</definedName>
    <definedName name="totalen" localSheetId="2">DATE(YEAR('Simplified Model'!Loan_Start),MONTH('Simplified Model'!Loan_Start)+#NAME?,DAY('Simplified Model'!Loan_Start))</definedName>
    <definedName name="totalen">DATE(YEAR(Loan_Start),MONTH(Loan_Start)+#NAME?,DAY(Loan_Start))</definedName>
    <definedName name="training_output">'[6]Summary Page'!$D$3:$D$133,'[6]Summary Page'!$CZ$3:$CZ$133</definedName>
    <definedName name="turntabel" localSheetId="2">#REF!</definedName>
    <definedName name="turntabel">#REF!</definedName>
    <definedName name="type.client">[2]Info!$B$38</definedName>
    <definedName name="Values_Entered" localSheetId="2">IF('Simplified Model'!Loan_Amount*'Simplified Model'!Interest_Rate*'Simplified Model'!Loan_Years*'Simplified Model'!Loan_Start&gt;0,1,0)</definedName>
    <definedName name="Values_Entered">IF(Loan_Amount*Interest_Rate*Loan_Years*Loan_Start&gt;0,1,0)</definedName>
    <definedName name="void" localSheetId="2">#REF!</definedName>
    <definedName name="void">#REF!</definedName>
    <definedName name="waardevon">[2]Taxatie!$L$249</definedName>
    <definedName name="XREF_COLUMN_1" localSheetId="2" hidden="1">#REF!</definedName>
    <definedName name="XREF_COLUMN_1" hidden="1">#REF!</definedName>
    <definedName name="XREF_COLUMN_2" localSheetId="2" hidden="1">#REF!</definedName>
    <definedName name="XREF_COLUMN_2" hidden="1">#REF!</definedName>
    <definedName name="XRefActiveRow" localSheetId="2" hidden="1">#REF!</definedName>
    <definedName name="XRefActiveRow" hidden="1">#REF!</definedName>
    <definedName name="XRefColumnsCount" hidden="1">2</definedName>
    <definedName name="XRefCopy2" localSheetId="2" hidden="1">#REF!</definedName>
    <definedName name="XRefCopy2" hidden="1">#REF!</definedName>
    <definedName name="XRefCopyRangeCount" hidden="1">3</definedName>
    <definedName name="XRefPasteRangeCount" hidden="1">1</definedName>
    <definedName name="Z_47D9C9DF_22CF_44D4_8805_395C050186A3_.wvu.PrintArea" localSheetId="2" hidden="1">'Simplified Model'!$A$1:$N$226</definedName>
    <definedName name="Z_47D9C9DF_22CF_44D4_8805_395C050186A3_.wvu.PrintTitles" localSheetId="2" hidden="1">'Simplified Model'!$1:$4</definedName>
    <definedName name="Z_47D9C9DF_22CF_44D4_8805_395C050186A3_.wvu.Rows" localSheetId="2" hidden="1">'Simplified Model'!$7:$10</definedName>
  </definedNames>
  <calcPr calcId="152511"/>
</workbook>
</file>

<file path=xl/calcChain.xml><?xml version="1.0" encoding="utf-8"?>
<calcChain xmlns="http://schemas.openxmlformats.org/spreadsheetml/2006/main">
  <c r="D66" i="4" l="1"/>
  <c r="A219" i="4" l="1"/>
  <c r="A211" i="4"/>
  <c r="A203" i="4"/>
  <c r="D202" i="4"/>
  <c r="A202" i="4"/>
  <c r="M195" i="4"/>
  <c r="A193" i="4"/>
  <c r="A185" i="4"/>
  <c r="D184" i="4"/>
  <c r="D183" i="4"/>
  <c r="D185" i="4" s="1"/>
  <c r="D182" i="4"/>
  <c r="D181" i="4"/>
  <c r="D180" i="4"/>
  <c r="A178" i="4"/>
  <c r="D177" i="4"/>
  <c r="A177" i="4"/>
  <c r="E176" i="4"/>
  <c r="D176" i="4"/>
  <c r="E175" i="4"/>
  <c r="D175" i="4"/>
  <c r="E174" i="4"/>
  <c r="D174" i="4"/>
  <c r="E173" i="4"/>
  <c r="D173" i="4"/>
  <c r="E172" i="4"/>
  <c r="D172" i="4"/>
  <c r="E171" i="4"/>
  <c r="D171" i="4"/>
  <c r="E170" i="4"/>
  <c r="E195" i="4" s="1"/>
  <c r="F170" i="4" s="1"/>
  <c r="F195" i="4" s="1"/>
  <c r="G170" i="4" s="1"/>
  <c r="D170" i="4"/>
  <c r="A168" i="4"/>
  <c r="A166" i="4"/>
  <c r="A165" i="4"/>
  <c r="A155" i="4"/>
  <c r="D154" i="4"/>
  <c r="D153" i="4"/>
  <c r="D152" i="4"/>
  <c r="D155" i="4" s="1"/>
  <c r="D151" i="4"/>
  <c r="D150" i="4"/>
  <c r="D149" i="4"/>
  <c r="C148" i="4"/>
  <c r="M147" i="4"/>
  <c r="L147" i="4"/>
  <c r="K147" i="4"/>
  <c r="J147" i="4"/>
  <c r="I147" i="4"/>
  <c r="H147" i="4"/>
  <c r="G147" i="4"/>
  <c r="F147" i="4"/>
  <c r="E147" i="4"/>
  <c r="C147" i="4" s="1"/>
  <c r="A145" i="4"/>
  <c r="D143" i="4"/>
  <c r="D142" i="4"/>
  <c r="A141" i="4"/>
  <c r="H140" i="4"/>
  <c r="I140" i="4" s="1"/>
  <c r="G140" i="4"/>
  <c r="A133" i="4"/>
  <c r="E132" i="4"/>
  <c r="D125" i="4"/>
  <c r="D128" i="4" s="1"/>
  <c r="E125" i="4" s="1"/>
  <c r="A123" i="4"/>
  <c r="D119" i="4"/>
  <c r="A117" i="4"/>
  <c r="D113" i="4"/>
  <c r="D116" i="4" s="1"/>
  <c r="E113" i="4" s="1"/>
  <c r="A111" i="4"/>
  <c r="D110" i="4"/>
  <c r="E107" i="4"/>
  <c r="D107" i="4"/>
  <c r="B106" i="4"/>
  <c r="A105" i="4"/>
  <c r="D103" i="4"/>
  <c r="D101" i="4"/>
  <c r="D104" i="4" s="1"/>
  <c r="E101" i="4" s="1"/>
  <c r="A100" i="4"/>
  <c r="B98" i="4"/>
  <c r="B118" i="4" s="1"/>
  <c r="B97" i="4"/>
  <c r="A94" i="4"/>
  <c r="L93" i="4"/>
  <c r="M93" i="4" s="1"/>
  <c r="F93" i="4"/>
  <c r="G93" i="4" s="1"/>
  <c r="H93" i="4" s="1"/>
  <c r="I93" i="4" s="1"/>
  <c r="J93" i="4" s="1"/>
  <c r="K93" i="4" s="1"/>
  <c r="E93" i="4"/>
  <c r="F92" i="4"/>
  <c r="G92" i="4" s="1"/>
  <c r="H92" i="4" s="1"/>
  <c r="I92" i="4" s="1"/>
  <c r="J92" i="4" s="1"/>
  <c r="K92" i="4" s="1"/>
  <c r="L92" i="4" s="1"/>
  <c r="M92" i="4" s="1"/>
  <c r="E92" i="4"/>
  <c r="F91" i="4"/>
  <c r="E91" i="4"/>
  <c r="A90" i="4"/>
  <c r="E89" i="4"/>
  <c r="L88" i="4"/>
  <c r="M88" i="4" s="1"/>
  <c r="K88" i="4"/>
  <c r="G88" i="4"/>
  <c r="H88" i="4" s="1"/>
  <c r="I88" i="4" s="1"/>
  <c r="E88" i="4"/>
  <c r="F87" i="4"/>
  <c r="D87" i="4"/>
  <c r="E87" i="4" s="1"/>
  <c r="K86" i="4"/>
  <c r="L86" i="4" s="1"/>
  <c r="M86" i="4" s="1"/>
  <c r="I86" i="4"/>
  <c r="J86" i="4" s="1"/>
  <c r="E86" i="4"/>
  <c r="F86" i="4" s="1"/>
  <c r="G86" i="4" s="1"/>
  <c r="H86" i="4" s="1"/>
  <c r="E85" i="4"/>
  <c r="A84" i="4"/>
  <c r="D83" i="4"/>
  <c r="D96" i="4" s="1"/>
  <c r="G82" i="4"/>
  <c r="H82" i="4" s="1"/>
  <c r="I82" i="4" s="1"/>
  <c r="J82" i="4" s="1"/>
  <c r="K82" i="4" s="1"/>
  <c r="L82" i="4" s="1"/>
  <c r="M82" i="4" s="1"/>
  <c r="E81" i="4"/>
  <c r="E83" i="4" s="1"/>
  <c r="M80" i="4"/>
  <c r="K80" i="4"/>
  <c r="L80" i="4" s="1"/>
  <c r="E80" i="4"/>
  <c r="F80" i="4" s="1"/>
  <c r="G80" i="4" s="1"/>
  <c r="H80" i="4" s="1"/>
  <c r="I80" i="4" s="1"/>
  <c r="J80" i="4" s="1"/>
  <c r="E79" i="4"/>
  <c r="A77" i="4"/>
  <c r="A75" i="4"/>
  <c r="A72" i="4"/>
  <c r="D70" i="4"/>
  <c r="A68" i="4"/>
  <c r="E65" i="4"/>
  <c r="D65" i="4"/>
  <c r="D67" i="4" s="1"/>
  <c r="A63" i="4"/>
  <c r="D61" i="4"/>
  <c r="D60" i="4"/>
  <c r="E58" i="4"/>
  <c r="A56" i="4"/>
  <c r="A50" i="4"/>
  <c r="E46" i="4"/>
  <c r="A44" i="4"/>
  <c r="E40" i="4"/>
  <c r="A38" i="4"/>
  <c r="D34" i="4"/>
  <c r="D37" i="4" s="1"/>
  <c r="E34" i="4" s="1"/>
  <c r="A32" i="4"/>
  <c r="D30" i="4"/>
  <c r="D58" i="4" s="1"/>
  <c r="E29" i="4"/>
  <c r="E31" i="4" s="1"/>
  <c r="L28" i="4"/>
  <c r="K28" i="4"/>
  <c r="J28" i="4"/>
  <c r="I28" i="4"/>
  <c r="H28" i="4"/>
  <c r="G28" i="4"/>
  <c r="F28" i="4"/>
  <c r="E28" i="4"/>
  <c r="D27" i="4"/>
  <c r="F27" i="4" s="1"/>
  <c r="A25" i="4"/>
  <c r="D23" i="4"/>
  <c r="E66" i="4" s="1"/>
  <c r="C22" i="4"/>
  <c r="D20" i="4"/>
  <c r="A18" i="4"/>
  <c r="E17" i="4"/>
  <c r="F17" i="4" s="1"/>
  <c r="A16" i="4"/>
  <c r="A14" i="4"/>
  <c r="E9" i="4"/>
  <c r="E8" i="4" s="1"/>
  <c r="E7" i="4"/>
  <c r="D6" i="4"/>
  <c r="D28" i="4" l="1"/>
  <c r="D24" i="4"/>
  <c r="D222" i="4" s="1"/>
  <c r="G17" i="4"/>
  <c r="F29" i="4"/>
  <c r="G27" i="4"/>
  <c r="D224" i="4"/>
  <c r="F89" i="4"/>
  <c r="G87" i="4"/>
  <c r="A17" i="4"/>
  <c r="D29" i="4"/>
  <c r="E52" i="4"/>
  <c r="F79" i="4"/>
  <c r="F85" i="4"/>
  <c r="D157" i="4"/>
  <c r="B112" i="4"/>
  <c r="F9" i="4"/>
  <c r="D121" i="4"/>
  <c r="D122" i="4" s="1"/>
  <c r="D214" i="4"/>
  <c r="D216" i="4"/>
  <c r="D213" i="4"/>
  <c r="D218" i="4"/>
  <c r="D215" i="4"/>
  <c r="D217" i="4"/>
  <c r="F132" i="4"/>
  <c r="E5" i="4"/>
  <c r="A15" i="4"/>
  <c r="D187" i="4"/>
  <c r="D189" i="4" s="1"/>
  <c r="D89" i="4"/>
  <c r="D97" i="4" s="1"/>
  <c r="D69" i="4" s="1"/>
  <c r="D71" i="4" s="1"/>
  <c r="D188" i="4"/>
  <c r="F81" i="4"/>
  <c r="G195" i="4"/>
  <c r="H170" i="4" s="1"/>
  <c r="E177" i="4"/>
  <c r="G91" i="4"/>
  <c r="D223" i="4" l="1"/>
  <c r="D225" i="4"/>
  <c r="D226" i="4"/>
  <c r="E20" i="4"/>
  <c r="D221" i="4"/>
  <c r="D73" i="4"/>
  <c r="D74" i="4" s="1"/>
  <c r="E119" i="4"/>
  <c r="E10" i="4"/>
  <c r="E6" i="4"/>
  <c r="G79" i="4"/>
  <c r="H195" i="4"/>
  <c r="I170" i="4" s="1"/>
  <c r="G81" i="4"/>
  <c r="F83" i="4"/>
  <c r="D190" i="4"/>
  <c r="D59" i="4"/>
  <c r="D62" i="4" s="1"/>
  <c r="D31" i="4"/>
  <c r="H17" i="4"/>
  <c r="G89" i="4"/>
  <c r="H87" i="4"/>
  <c r="D191" i="4"/>
  <c r="G9" i="4"/>
  <c r="F8" i="4"/>
  <c r="F7" i="4"/>
  <c r="F5" i="4"/>
  <c r="H91" i="4"/>
  <c r="G132" i="4"/>
  <c r="D158" i="4"/>
  <c r="D159" i="4"/>
  <c r="D99" i="4"/>
  <c r="A19" i="4"/>
  <c r="G85" i="4"/>
  <c r="G29" i="4"/>
  <c r="H27" i="4"/>
  <c r="H85" i="4" l="1"/>
  <c r="H132" i="4"/>
  <c r="I91" i="4"/>
  <c r="H9" i="4"/>
  <c r="G7" i="4"/>
  <c r="G8" i="4"/>
  <c r="G5" i="4"/>
  <c r="E98" i="4"/>
  <c r="E70" i="4" s="1"/>
  <c r="H29" i="4"/>
  <c r="I27" i="4"/>
  <c r="A20" i="4"/>
  <c r="D192" i="4"/>
  <c r="H81" i="4"/>
  <c r="G83" i="4"/>
  <c r="A21" i="4"/>
  <c r="F10" i="4"/>
  <c r="F6" i="4"/>
  <c r="H89" i="4"/>
  <c r="I87" i="4"/>
  <c r="I17" i="4"/>
  <c r="I195" i="4"/>
  <c r="J170" i="4" s="1"/>
  <c r="H79" i="4"/>
  <c r="D160" i="4"/>
  <c r="D161" i="4" s="1"/>
  <c r="E96" i="4"/>
  <c r="E142" i="4"/>
  <c r="E97" i="4"/>
  <c r="E153" i="4"/>
  <c r="E152" i="4"/>
  <c r="E149" i="4"/>
  <c r="E150" i="4"/>
  <c r="E154" i="4"/>
  <c r="E151" i="4"/>
  <c r="D193" i="4" l="1"/>
  <c r="E155" i="4"/>
  <c r="A22" i="4"/>
  <c r="H8" i="4"/>
  <c r="H7" i="4"/>
  <c r="I9" i="4"/>
  <c r="H5" i="4"/>
  <c r="I132" i="4"/>
  <c r="J17" i="4"/>
  <c r="D162" i="4"/>
  <c r="D163" i="4" s="1"/>
  <c r="D164" i="4" s="1"/>
  <c r="D165" i="4" s="1"/>
  <c r="A23" i="4"/>
  <c r="A24" i="4" s="1"/>
  <c r="E69" i="4"/>
  <c r="E99" i="4"/>
  <c r="G10" i="4"/>
  <c r="G6" i="4"/>
  <c r="I79" i="4"/>
  <c r="J195" i="4"/>
  <c r="K170" i="4" s="1"/>
  <c r="I89" i="4"/>
  <c r="J87" i="4"/>
  <c r="H83" i="4"/>
  <c r="I81" i="4"/>
  <c r="J91" i="4"/>
  <c r="E157" i="4"/>
  <c r="I85" i="4"/>
  <c r="J27" i="4"/>
  <c r="I29" i="4"/>
  <c r="K91" i="4" l="1"/>
  <c r="H6" i="4"/>
  <c r="H10" i="4"/>
  <c r="A26" i="4"/>
  <c r="J85" i="4"/>
  <c r="J89" i="4"/>
  <c r="K87" i="4"/>
  <c r="I8" i="4"/>
  <c r="I7" i="4"/>
  <c r="I5" i="4"/>
  <c r="J9" i="4"/>
  <c r="J132" i="4"/>
  <c r="K27" i="4"/>
  <c r="J29" i="4"/>
  <c r="K195" i="4"/>
  <c r="L170" i="4" s="1"/>
  <c r="J79" i="4"/>
  <c r="E158" i="4"/>
  <c r="I83" i="4"/>
  <c r="J81" i="4"/>
  <c r="K17" i="4"/>
  <c r="K79" i="4" l="1"/>
  <c r="L195" i="4"/>
  <c r="I6" i="4"/>
  <c r="I10" i="4"/>
  <c r="L17" i="4"/>
  <c r="E160" i="4"/>
  <c r="L87" i="4"/>
  <c r="K89" i="4"/>
  <c r="L91" i="4"/>
  <c r="K132" i="4"/>
  <c r="A27" i="4"/>
  <c r="L27" i="4"/>
  <c r="K29" i="4"/>
  <c r="J83" i="4"/>
  <c r="K81" i="4"/>
  <c r="J7" i="4"/>
  <c r="J5" i="4"/>
  <c r="K9" i="4"/>
  <c r="J8" i="4"/>
  <c r="K85" i="4"/>
  <c r="E159" i="4"/>
  <c r="A28" i="4" l="1"/>
  <c r="M87" i="4"/>
  <c r="M89" i="4" s="1"/>
  <c r="L89" i="4"/>
  <c r="L85" i="4"/>
  <c r="K83" i="4"/>
  <c r="L81" i="4"/>
  <c r="L132" i="4"/>
  <c r="E161" i="4"/>
  <c r="E162" i="4" s="1"/>
  <c r="E163" i="4" s="1"/>
  <c r="E164" i="4" s="1"/>
  <c r="M27" i="4"/>
  <c r="L29" i="4"/>
  <c r="L79" i="4"/>
  <c r="K5" i="4"/>
  <c r="L9" i="4"/>
  <c r="K8" i="4"/>
  <c r="K7" i="4"/>
  <c r="M91" i="4"/>
  <c r="M17" i="4"/>
  <c r="J6" i="4"/>
  <c r="J10" i="4"/>
  <c r="L5" i="4" l="1"/>
  <c r="M9" i="4"/>
  <c r="L8" i="4"/>
  <c r="L7" i="4"/>
  <c r="K6" i="4"/>
  <c r="K10" i="4"/>
  <c r="L83" i="4"/>
  <c r="M81" i="4"/>
  <c r="M83" i="4" s="1"/>
  <c r="M132" i="4"/>
  <c r="M85" i="4"/>
  <c r="M79" i="4"/>
  <c r="A29" i="4"/>
  <c r="A30" i="4" s="1"/>
  <c r="A31" i="4" s="1"/>
  <c r="A33" i="4" s="1"/>
  <c r="A34" i="4" s="1"/>
  <c r="A35" i="4" s="1"/>
  <c r="A36" i="4" s="1"/>
  <c r="A37" i="4" s="1"/>
  <c r="A39" i="4" s="1"/>
  <c r="A40" i="4" s="1"/>
  <c r="A41" i="4" s="1"/>
  <c r="A42" i="4" s="1"/>
  <c r="A43" i="4" s="1"/>
  <c r="A45" i="4" s="1"/>
  <c r="A46" i="4" s="1"/>
  <c r="A47" i="4" s="1"/>
  <c r="A48" i="4" s="1"/>
  <c r="A49" i="4" s="1"/>
  <c r="A51" i="4" s="1"/>
  <c r="A52" i="4" s="1"/>
  <c r="A53" i="4" s="1"/>
  <c r="A54" i="4" s="1"/>
  <c r="A55" i="4" s="1"/>
  <c r="A57" i="4" s="1"/>
  <c r="A58" i="4" s="1"/>
  <c r="A59" i="4" s="1"/>
  <c r="A60" i="4" s="1"/>
  <c r="A61" i="4" s="1"/>
  <c r="A62" i="4" s="1"/>
  <c r="A64" i="4" s="1"/>
  <c r="A65" i="4" s="1"/>
  <c r="A66" i="4" s="1"/>
  <c r="A67" i="4" s="1"/>
  <c r="A69" i="4" s="1"/>
  <c r="A70" i="4" s="1"/>
  <c r="A71" i="4" s="1"/>
  <c r="A73" i="4" s="1"/>
  <c r="A74" i="4" s="1"/>
  <c r="A76" i="4" s="1"/>
  <c r="A78" i="4" s="1"/>
  <c r="A79" i="4" s="1"/>
  <c r="A80" i="4" s="1"/>
  <c r="A81" i="4" s="1"/>
  <c r="A82" i="4" s="1"/>
  <c r="A83" i="4" s="1"/>
  <c r="A85" i="4" s="1"/>
  <c r="A86" i="4" s="1"/>
  <c r="A87" i="4" s="1"/>
  <c r="A88" i="4" s="1"/>
  <c r="A89" i="4" s="1"/>
  <c r="A91" i="4" s="1"/>
  <c r="A92" i="4" s="1"/>
  <c r="A93" i="4" s="1"/>
  <c r="A95" i="4" s="1"/>
  <c r="A96" i="4" s="1"/>
  <c r="A97" i="4" s="1"/>
  <c r="A98" i="4" s="1"/>
  <c r="A99" i="4" s="1"/>
  <c r="A101" i="4" s="1"/>
  <c r="A102" i="4" s="1"/>
  <c r="A103" i="4" s="1"/>
  <c r="A104" i="4" s="1"/>
  <c r="A106" i="4" s="1"/>
  <c r="A107" i="4" s="1"/>
  <c r="A108" i="4" s="1"/>
  <c r="A109" i="4" s="1"/>
  <c r="A110" i="4" s="1"/>
  <c r="A112" i="4" s="1"/>
  <c r="A113" i="4" s="1"/>
  <c r="A114" i="4" s="1"/>
  <c r="A115" i="4" s="1"/>
  <c r="A116" i="4" s="1"/>
  <c r="A118" i="4" s="1"/>
  <c r="A119" i="4" s="1"/>
  <c r="A120" i="4" s="1"/>
  <c r="A121" i="4" s="1"/>
  <c r="A122" i="4" s="1"/>
  <c r="A124" i="4" s="1"/>
  <c r="A125" i="4" s="1"/>
  <c r="A126" i="4" s="1"/>
  <c r="A127" i="4" s="1"/>
  <c r="A128" i="4" s="1"/>
  <c r="E165" i="4"/>
  <c r="E167" i="4" s="1"/>
  <c r="A132" i="4" l="1"/>
  <c r="A142" i="4" s="1"/>
  <c r="A134" i="4"/>
  <c r="M5" i="4"/>
  <c r="M7" i="4"/>
  <c r="M8" i="4"/>
  <c r="L10" i="4"/>
  <c r="L6" i="4"/>
  <c r="M10" i="4" l="1"/>
  <c r="M6" i="4"/>
  <c r="A136" i="4"/>
  <c r="A137" i="4"/>
  <c r="A135" i="4"/>
  <c r="A138" i="4" s="1"/>
  <c r="A139" i="4" l="1"/>
  <c r="A140" i="4"/>
  <c r="A143" i="4" s="1"/>
  <c r="A144" i="4" s="1"/>
  <c r="A146" i="4" s="1"/>
  <c r="A147" i="4" s="1"/>
  <c r="A148" i="4" s="1"/>
  <c r="A149" i="4" s="1"/>
  <c r="A150" i="4" s="1"/>
  <c r="A151" i="4" s="1"/>
  <c r="A152" i="4" s="1"/>
  <c r="A153" i="4" s="1"/>
  <c r="A154" i="4" s="1"/>
  <c r="A156" i="4" s="1"/>
  <c r="A157" i="4" s="1"/>
  <c r="A158" i="4" s="1"/>
  <c r="A159" i="4" s="1"/>
  <c r="A160" i="4" s="1"/>
  <c r="A161" i="4" s="1"/>
  <c r="A162" i="4" s="1"/>
  <c r="A163" i="4" s="1"/>
  <c r="A164" i="4" s="1"/>
  <c r="A167" i="4" s="1"/>
  <c r="A169" i="4" s="1"/>
  <c r="A170" i="4" s="1"/>
  <c r="A171" i="4" s="1"/>
  <c r="A172" i="4" s="1"/>
  <c r="A173" i="4" s="1"/>
  <c r="A174" i="4" s="1"/>
  <c r="A175" i="4" s="1"/>
  <c r="A176" i="4" s="1"/>
  <c r="A179" i="4" s="1"/>
  <c r="A180" i="4" s="1"/>
  <c r="A181" i="4" s="1"/>
  <c r="A182" i="4" s="1"/>
  <c r="A183" i="4" s="1"/>
  <c r="A184" i="4" s="1"/>
  <c r="A186" i="4" s="1"/>
  <c r="A187" i="4" s="1"/>
  <c r="A188" i="4" s="1"/>
  <c r="A189" i="4" s="1"/>
  <c r="A190" i="4" s="1"/>
  <c r="A191" i="4" s="1"/>
  <c r="A192" i="4" s="1"/>
  <c r="A194" i="4" s="1"/>
  <c r="A195" i="4" s="1"/>
  <c r="A196" i="4" s="1"/>
  <c r="A197" i="4" s="1"/>
  <c r="A198" i="4" s="1"/>
  <c r="A199" i="4" s="1"/>
  <c r="A200" i="4" s="1"/>
  <c r="A201" i="4" s="1"/>
  <c r="A204" i="4" s="1"/>
  <c r="A205" i="4" s="1"/>
  <c r="A206" i="4" s="1"/>
  <c r="A207" i="4" s="1"/>
  <c r="A208" i="4" s="1"/>
  <c r="A209" i="4" s="1"/>
  <c r="A210" i="4" s="1"/>
  <c r="A212" i="4" s="1"/>
  <c r="A213" i="4" s="1"/>
  <c r="A214" i="4" s="1"/>
  <c r="A215" i="4" s="1"/>
  <c r="A216" i="4" s="1"/>
  <c r="A217" i="4" s="1"/>
  <c r="A218" i="4" s="1"/>
  <c r="A220" i="4" s="1"/>
  <c r="A221" i="4" s="1"/>
  <c r="A222" i="4" s="1"/>
  <c r="A223" i="4" s="1"/>
  <c r="A224" i="4" s="1"/>
  <c r="A225" i="4" s="1"/>
  <c r="A226" i="4" s="1"/>
  <c r="E67" i="4" l="1"/>
  <c r="E71" i="4" s="1"/>
  <c r="E73" i="4" l="1"/>
  <c r="E74" i="4" s="1"/>
  <c r="E76" i="4" l="1"/>
  <c r="E47" i="4" s="1"/>
  <c r="E102" i="4"/>
  <c r="E103" i="4" l="1"/>
  <c r="E53" i="4"/>
  <c r="E22" i="4" l="1"/>
  <c r="E104" i="4"/>
  <c r="F101" i="4" l="1"/>
  <c r="E120" i="4"/>
  <c r="E114" i="4" s="1"/>
  <c r="E23" i="4"/>
  <c r="F66" i="4" s="1"/>
  <c r="E59" i="4"/>
  <c r="F65" i="4" l="1"/>
  <c r="E24" i="4"/>
  <c r="E42" i="4"/>
  <c r="E108" i="4"/>
  <c r="F67" i="4" l="1"/>
  <c r="E43" i="4"/>
  <c r="F40" i="4" s="1"/>
  <c r="E36" i="4"/>
  <c r="E48" i="4" s="1"/>
  <c r="F20" i="4"/>
  <c r="E126" i="4"/>
  <c r="E49" i="4" l="1"/>
  <c r="F46" i="4" s="1"/>
  <c r="E61" i="4"/>
  <c r="E37" i="4"/>
  <c r="F34" i="4" s="1"/>
  <c r="E60" i="4"/>
  <c r="E62" i="4" s="1"/>
  <c r="E54" i="4"/>
  <c r="E55" i="4" s="1"/>
  <c r="F52" i="4" l="1"/>
  <c r="E109" i="4"/>
  <c r="E115" i="4" s="1"/>
  <c r="E116" i="4" s="1"/>
  <c r="F113" i="4" l="1"/>
  <c r="E121" i="4"/>
  <c r="E122" i="4" s="1"/>
  <c r="E110" i="4"/>
  <c r="F119" i="4" l="1"/>
  <c r="F107" i="4"/>
  <c r="F97" i="4"/>
  <c r="E127" i="4"/>
  <c r="E144" i="4" l="1"/>
  <c r="E143" i="4" s="1"/>
  <c r="E128" i="4"/>
  <c r="F125" i="4" s="1"/>
  <c r="F142" i="4"/>
  <c r="F96" i="4"/>
  <c r="F98" i="4"/>
  <c r="F70" i="4" s="1"/>
  <c r="F69" i="4" l="1"/>
  <c r="F71" i="4" s="1"/>
  <c r="F99" i="4"/>
  <c r="F157" i="4"/>
  <c r="E182" i="4"/>
  <c r="E180" i="4"/>
  <c r="E181" i="4"/>
  <c r="E183" i="4"/>
  <c r="E184" i="4"/>
  <c r="E185" i="4" l="1"/>
  <c r="E187" i="4"/>
  <c r="F73" i="4"/>
  <c r="F74" i="4" s="1"/>
  <c r="F102" i="4" l="1"/>
  <c r="F35" i="4"/>
  <c r="F76" i="4"/>
  <c r="F47" i="4" s="1"/>
  <c r="E188" i="4"/>
  <c r="E189" i="4" s="1"/>
  <c r="E196" i="4"/>
  <c r="E198" i="4" l="1"/>
  <c r="F173" i="4" s="1"/>
  <c r="E190" i="4"/>
  <c r="E191" i="4" s="1"/>
  <c r="F171" i="4"/>
  <c r="E213" i="4"/>
  <c r="E221" i="4"/>
  <c r="F53" i="4"/>
  <c r="E197" i="4"/>
  <c r="F172" i="4" s="1"/>
  <c r="F103" i="4"/>
  <c r="F104" i="4" s="1"/>
  <c r="E222" i="4" l="1"/>
  <c r="E200" i="4"/>
  <c r="F175" i="4" s="1"/>
  <c r="E215" i="4"/>
  <c r="E199" i="4"/>
  <c r="G101" i="4"/>
  <c r="F120" i="4"/>
  <c r="E214" i="4"/>
  <c r="F149" i="4"/>
  <c r="E192" i="4"/>
  <c r="E193" i="4" s="1"/>
  <c r="F151" i="4"/>
  <c r="F150" i="4"/>
  <c r="E223" i="4"/>
  <c r="E225" i="4" l="1"/>
  <c r="E224" i="4"/>
  <c r="F153" i="4"/>
  <c r="F174" i="4"/>
  <c r="E216" i="4"/>
  <c r="E217" i="4"/>
  <c r="E201" i="4"/>
  <c r="E218" i="4" s="1"/>
  <c r="F114" i="4"/>
  <c r="F152" i="4" l="1"/>
  <c r="F176" i="4"/>
  <c r="F177" i="4" s="1"/>
  <c r="E226" i="4"/>
  <c r="F108" i="4"/>
  <c r="E202" i="4"/>
  <c r="F126" i="4" l="1"/>
  <c r="F30" i="4"/>
  <c r="F154" i="4"/>
  <c r="F158" i="4" s="1"/>
  <c r="F155" i="4" l="1"/>
  <c r="F159" i="4"/>
  <c r="F160" i="4" s="1"/>
  <c r="F31" i="4"/>
  <c r="F22" i="4" s="1"/>
  <c r="F58" i="4"/>
  <c r="F161" i="4" l="1"/>
  <c r="F162" i="4" s="1"/>
  <c r="F163" i="4" s="1"/>
  <c r="F23" i="4"/>
  <c r="G66" i="4" s="1"/>
  <c r="F59" i="4"/>
  <c r="F164" i="4" l="1"/>
  <c r="F165" i="4" s="1"/>
  <c r="F167" i="4" s="1"/>
  <c r="G65" i="4"/>
  <c r="G67" i="4" s="1"/>
  <c r="F42" i="4"/>
  <c r="F24" i="4"/>
  <c r="G20" i="4" l="1"/>
  <c r="F43" i="4"/>
  <c r="G40" i="4" s="1"/>
  <c r="F36" i="4"/>
  <c r="F37" i="4" l="1"/>
  <c r="G34" i="4" s="1"/>
  <c r="F60" i="4"/>
  <c r="F62" i="4" s="1"/>
  <c r="F48" i="4"/>
  <c r="F49" i="4" l="1"/>
  <c r="G46" i="4" s="1"/>
  <c r="G52" i="4" s="1"/>
  <c r="F61" i="4"/>
  <c r="F54" i="4"/>
  <c r="F55" i="4" s="1"/>
  <c r="F109" i="4"/>
  <c r="F115" i="4" s="1"/>
  <c r="F116" i="4" s="1"/>
  <c r="G113" i="4" l="1"/>
  <c r="F121" i="4"/>
  <c r="F122" i="4" s="1"/>
  <c r="F110" i="4"/>
  <c r="G107" i="4" l="1"/>
  <c r="F127" i="4"/>
  <c r="G119" i="4"/>
  <c r="G97" i="4"/>
  <c r="F144" i="4" l="1"/>
  <c r="F128" i="4"/>
  <c r="G125" i="4" s="1"/>
  <c r="G98" i="4"/>
  <c r="G70" i="4" s="1"/>
  <c r="G142" i="4"/>
  <c r="G96" i="4"/>
  <c r="F180" i="4" l="1"/>
  <c r="F182" i="4"/>
  <c r="F183" i="4"/>
  <c r="F184" i="4"/>
  <c r="F181" i="4"/>
  <c r="G157" i="4"/>
  <c r="G99" i="4"/>
  <c r="G69" i="4"/>
  <c r="G71" i="4" s="1"/>
  <c r="F143" i="4"/>
  <c r="G73" i="4" l="1"/>
  <c r="G74" i="4" s="1"/>
  <c r="F185" i="4"/>
  <c r="F187" i="4"/>
  <c r="G102" i="4" l="1"/>
  <c r="G76" i="4"/>
  <c r="G47" i="4" s="1"/>
  <c r="G35" i="4"/>
  <c r="F188" i="4"/>
  <c r="F196" i="4"/>
  <c r="F197" i="4" l="1"/>
  <c r="G172" i="4" s="1"/>
  <c r="G53" i="4"/>
  <c r="G171" i="4"/>
  <c r="F213" i="4"/>
  <c r="F221" i="4"/>
  <c r="G103" i="4"/>
  <c r="G104" i="4" s="1"/>
  <c r="F189" i="4"/>
  <c r="F190" i="4" s="1"/>
  <c r="F191" i="4" s="1"/>
  <c r="F222" i="4" l="1"/>
  <c r="F214" i="4"/>
  <c r="F200" i="4"/>
  <c r="G175" i="4" s="1"/>
  <c r="F192" i="4"/>
  <c r="F193" i="4" s="1"/>
  <c r="F199" i="4"/>
  <c r="G174" i="4" s="1"/>
  <c r="G149" i="4"/>
  <c r="G150" i="4"/>
  <c r="F198" i="4"/>
  <c r="H101" i="4"/>
  <c r="G120" i="4"/>
  <c r="G152" i="4" l="1"/>
  <c r="F201" i="4"/>
  <c r="G176" i="4" s="1"/>
  <c r="G153" i="4"/>
  <c r="G173" i="4"/>
  <c r="F223" i="4"/>
  <c r="F215" i="4"/>
  <c r="F224" i="4"/>
  <c r="F217" i="4"/>
  <c r="F216" i="4"/>
  <c r="F225" i="4"/>
  <c r="G114" i="4"/>
  <c r="G108" i="4" s="1"/>
  <c r="F202" i="4" l="1"/>
  <c r="G126" i="4"/>
  <c r="G30" i="4"/>
  <c r="G154" i="4"/>
  <c r="G151" i="4"/>
  <c r="G177" i="4"/>
  <c r="F218" i="4"/>
  <c r="F226" i="4"/>
  <c r="G155" i="4" l="1"/>
  <c r="G158" i="4"/>
  <c r="G31" i="4"/>
  <c r="G22" i="4" s="1"/>
  <c r="G58" i="4"/>
  <c r="G159" i="4" l="1"/>
  <c r="G160" i="4" s="1"/>
  <c r="G59" i="4"/>
  <c r="G23" i="4"/>
  <c r="H66" i="4" s="1"/>
  <c r="G161" i="4" l="1"/>
  <c r="G42" i="4"/>
  <c r="H65" i="4"/>
  <c r="H67" i="4" s="1"/>
  <c r="G24" i="4"/>
  <c r="G43" i="4" l="1"/>
  <c r="H40" i="4" s="1"/>
  <c r="G36" i="4"/>
  <c r="H20" i="4"/>
  <c r="G162" i="4"/>
  <c r="G163" i="4" s="1"/>
  <c r="G164" i="4" l="1"/>
  <c r="G165" i="4" s="1"/>
  <c r="G167" i="4" s="1"/>
  <c r="G37" i="4"/>
  <c r="H34" i="4" s="1"/>
  <c r="G60" i="4"/>
  <c r="G62" i="4" s="1"/>
  <c r="G48" i="4"/>
  <c r="G49" i="4" l="1"/>
  <c r="H46" i="4" s="1"/>
  <c r="G61" i="4"/>
  <c r="G109" i="4"/>
  <c r="G54" i="4"/>
  <c r="G55" i="4" s="1"/>
  <c r="G110" i="4" l="1"/>
  <c r="G115" i="4"/>
  <c r="G116" i="4" s="1"/>
  <c r="H52" i="4"/>
  <c r="H113" i="4" l="1"/>
  <c r="G121" i="4"/>
  <c r="G122" i="4" s="1"/>
  <c r="H107" i="4"/>
  <c r="H96" i="4" l="1"/>
  <c r="H142" i="4"/>
  <c r="G127" i="4"/>
  <c r="H119" i="4"/>
  <c r="H97" i="4"/>
  <c r="H98" i="4" l="1"/>
  <c r="H70" i="4" s="1"/>
  <c r="H157" i="4"/>
  <c r="H69" i="4"/>
  <c r="G144" i="4"/>
  <c r="G143" i="4" s="1"/>
  <c r="G128" i="4"/>
  <c r="H125" i="4" s="1"/>
  <c r="H99" i="4" l="1"/>
  <c r="H71" i="4"/>
  <c r="G183" i="4"/>
  <c r="G180" i="4"/>
  <c r="G181" i="4"/>
  <c r="G184" i="4"/>
  <c r="G182" i="4"/>
  <c r="H73" i="4" l="1"/>
  <c r="H74" i="4" s="1"/>
  <c r="G185" i="4"/>
  <c r="G187" i="4"/>
  <c r="H102" i="4" l="1"/>
  <c r="H103" i="4" s="1"/>
  <c r="H104" i="4" s="1"/>
  <c r="H35" i="4"/>
  <c r="H76" i="4"/>
  <c r="H47" i="4" s="1"/>
  <c r="G188" i="4"/>
  <c r="G196" i="4"/>
  <c r="H53" i="4" l="1"/>
  <c r="G197" i="4"/>
  <c r="H172" i="4" s="1"/>
  <c r="H171" i="4"/>
  <c r="G221" i="4"/>
  <c r="G213" i="4"/>
  <c r="G214" i="4"/>
  <c r="G222" i="4"/>
  <c r="I101" i="4"/>
  <c r="H120" i="4"/>
  <c r="G189" i="4"/>
  <c r="G198" i="4" l="1"/>
  <c r="H149" i="4"/>
  <c r="G190" i="4"/>
  <c r="G191" i="4" s="1"/>
  <c r="H114" i="4"/>
  <c r="H108" i="4" s="1"/>
  <c r="H150" i="4"/>
  <c r="G200" i="4" l="1"/>
  <c r="H175" i="4" s="1"/>
  <c r="H126" i="4"/>
  <c r="H30" i="4"/>
  <c r="G192" i="4"/>
  <c r="G193" i="4" s="1"/>
  <c r="H173" i="4"/>
  <c r="G215" i="4"/>
  <c r="G223" i="4"/>
  <c r="G199" i="4"/>
  <c r="G216" i="4" s="1"/>
  <c r="G225" i="4" l="1"/>
  <c r="G217" i="4"/>
  <c r="G224" i="4"/>
  <c r="H58" i="4"/>
  <c r="H31" i="4"/>
  <c r="H22" i="4" s="1"/>
  <c r="H151" i="4"/>
  <c r="H153" i="4"/>
  <c r="G201" i="4"/>
  <c r="H174" i="4"/>
  <c r="H23" i="4" l="1"/>
  <c r="I66" i="4" s="1"/>
  <c r="H59" i="4"/>
  <c r="H152" i="4"/>
  <c r="H176" i="4"/>
  <c r="G202" i="4"/>
  <c r="G218" i="4"/>
  <c r="G226" i="4"/>
  <c r="H154" i="4" l="1"/>
  <c r="H155" i="4" s="1"/>
  <c r="H177" i="4"/>
  <c r="I65" i="4"/>
  <c r="I67" i="4" s="1"/>
  <c r="H42" i="4"/>
  <c r="H24" i="4"/>
  <c r="I20" i="4" l="1"/>
  <c r="H43" i="4"/>
  <c r="I40" i="4" s="1"/>
  <c r="H36" i="4"/>
  <c r="H158" i="4"/>
  <c r="H159" i="4" l="1"/>
  <c r="H37" i="4"/>
  <c r="I34" i="4" s="1"/>
  <c r="H60" i="4"/>
  <c r="H62" i="4" s="1"/>
  <c r="H48" i="4"/>
  <c r="H160" i="4" l="1"/>
  <c r="H49" i="4"/>
  <c r="I46" i="4" s="1"/>
  <c r="H61" i="4"/>
  <c r="H54" i="4"/>
  <c r="H55" i="4" s="1"/>
  <c r="H109" i="4"/>
  <c r="H115" i="4" s="1"/>
  <c r="H116" i="4" s="1"/>
  <c r="H161" i="4" l="1"/>
  <c r="I52" i="4"/>
  <c r="H110" i="4"/>
  <c r="H121" i="4"/>
  <c r="H122" i="4" s="1"/>
  <c r="I113" i="4"/>
  <c r="H127" i="4" l="1"/>
  <c r="H162" i="4"/>
  <c r="H163" i="4" s="1"/>
  <c r="H164" i="4" s="1"/>
  <c r="H165" i="4" s="1"/>
  <c r="H167" i="4" s="1"/>
  <c r="I107" i="4"/>
  <c r="I119" i="4"/>
  <c r="I97" i="4"/>
  <c r="I98" i="4" l="1"/>
  <c r="I70" i="4" s="1"/>
  <c r="I142" i="4"/>
  <c r="I96" i="4"/>
  <c r="H144" i="4"/>
  <c r="H128" i="4"/>
  <c r="I125" i="4" s="1"/>
  <c r="H180" i="4" l="1"/>
  <c r="H184" i="4"/>
  <c r="H181" i="4"/>
  <c r="H182" i="4"/>
  <c r="H183" i="4"/>
  <c r="I157" i="4"/>
  <c r="H143" i="4"/>
  <c r="I99" i="4"/>
  <c r="I69" i="4"/>
  <c r="I71" i="4" s="1"/>
  <c r="H185" i="4" l="1"/>
  <c r="H187" i="4"/>
  <c r="I73" i="4"/>
  <c r="I74" i="4" s="1"/>
  <c r="H196" i="4" l="1"/>
  <c r="I102" i="4"/>
  <c r="I35" i="4"/>
  <c r="I76" i="4"/>
  <c r="I47" i="4" s="1"/>
  <c r="H188" i="4"/>
  <c r="I103" i="4" l="1"/>
  <c r="I53" i="4"/>
  <c r="I171" i="4"/>
  <c r="H221" i="4"/>
  <c r="H213" i="4"/>
  <c r="H197" i="4"/>
  <c r="I172" i="4" s="1"/>
  <c r="H189" i="4"/>
  <c r="H222" i="4" l="1"/>
  <c r="H198" i="4"/>
  <c r="I150" i="4"/>
  <c r="H214" i="4"/>
  <c r="I149" i="4"/>
  <c r="I104" i="4"/>
  <c r="H190" i="4"/>
  <c r="I173" i="4" l="1"/>
  <c r="H215" i="4"/>
  <c r="H199" i="4"/>
  <c r="H224" i="4" s="1"/>
  <c r="H223" i="4"/>
  <c r="J101" i="4"/>
  <c r="I120" i="4"/>
  <c r="H191" i="4"/>
  <c r="H192" i="4" s="1"/>
  <c r="H193" i="4" l="1"/>
  <c r="H201" i="4"/>
  <c r="I176" i="4" s="1"/>
  <c r="I174" i="4"/>
  <c r="I114" i="4"/>
  <c r="I108" i="4" s="1"/>
  <c r="H216" i="4"/>
  <c r="H200" i="4"/>
  <c r="H217" i="4" s="1"/>
  <c r="I151" i="4"/>
  <c r="I126" i="4" l="1"/>
  <c r="I30" i="4"/>
  <c r="I152" i="4"/>
  <c r="I154" i="4"/>
  <c r="I175" i="4"/>
  <c r="I177" i="4" s="1"/>
  <c r="H225" i="4"/>
  <c r="H218" i="4"/>
  <c r="H202" i="4"/>
  <c r="H226" i="4"/>
  <c r="I58" i="4" l="1"/>
  <c r="I31" i="4"/>
  <c r="I22" i="4" s="1"/>
  <c r="I153" i="4"/>
  <c r="I23" i="4" l="1"/>
  <c r="J66" i="4" s="1"/>
  <c r="I59" i="4"/>
  <c r="I155" i="4"/>
  <c r="I158" i="4"/>
  <c r="I159" i="4" l="1"/>
  <c r="J65" i="4"/>
  <c r="J67" i="4" s="1"/>
  <c r="I42" i="4"/>
  <c r="I24" i="4"/>
  <c r="I43" i="4" l="1"/>
  <c r="J40" i="4" s="1"/>
  <c r="I36" i="4"/>
  <c r="I160" i="4"/>
  <c r="I161" i="4" s="1"/>
  <c r="J20" i="4"/>
  <c r="I48" i="4"/>
  <c r="I49" i="4" s="1"/>
  <c r="J46" i="4" s="1"/>
  <c r="I162" i="4" l="1"/>
  <c r="I163" i="4" s="1"/>
  <c r="I164" i="4" s="1"/>
  <c r="I165" i="4" s="1"/>
  <c r="I167" i="4" s="1"/>
  <c r="I37" i="4"/>
  <c r="J34" i="4" s="1"/>
  <c r="J52" i="4" s="1"/>
  <c r="I60" i="4"/>
  <c r="I62" i="4" s="1"/>
  <c r="I61" i="4"/>
  <c r="I54" i="4"/>
  <c r="I55" i="4" s="1"/>
  <c r="I109" i="4" l="1"/>
  <c r="I115" i="4" l="1"/>
  <c r="I116" i="4" s="1"/>
  <c r="I110" i="4"/>
  <c r="J107" i="4" l="1"/>
  <c r="J113" i="4"/>
  <c r="I121" i="4"/>
  <c r="I122" i="4" s="1"/>
  <c r="J119" i="4" l="1"/>
  <c r="J97" i="4"/>
  <c r="I127" i="4"/>
  <c r="J96" i="4"/>
  <c r="J142" i="4"/>
  <c r="J69" i="4" l="1"/>
  <c r="J98" i="4"/>
  <c r="J70" i="4" s="1"/>
  <c r="J157" i="4"/>
  <c r="I144" i="4"/>
  <c r="I143" i="4" s="1"/>
  <c r="I128" i="4"/>
  <c r="J125" i="4" s="1"/>
  <c r="J71" i="4" l="1"/>
  <c r="J73" i="4" s="1"/>
  <c r="J74" i="4" s="1"/>
  <c r="I180" i="4"/>
  <c r="I184" i="4"/>
  <c r="I181" i="4"/>
  <c r="I183" i="4"/>
  <c r="I182" i="4"/>
  <c r="J99" i="4"/>
  <c r="J35" i="4" l="1"/>
  <c r="J76" i="4"/>
  <c r="J47" i="4" s="1"/>
  <c r="J102" i="4"/>
  <c r="I185" i="4"/>
  <c r="I187" i="4"/>
  <c r="I196" i="4" s="1"/>
  <c r="J171" i="4" l="1"/>
  <c r="I213" i="4"/>
  <c r="I221" i="4"/>
  <c r="J103" i="4"/>
  <c r="J104" i="4" s="1"/>
  <c r="I188" i="4"/>
  <c r="I189" i="4" s="1"/>
  <c r="J53" i="4"/>
  <c r="I190" i="4" l="1"/>
  <c r="I199" i="4" s="1"/>
  <c r="J174" i="4" s="1"/>
  <c r="K101" i="4"/>
  <c r="J120" i="4"/>
  <c r="I198" i="4"/>
  <c r="J173" i="4" s="1"/>
  <c r="J149" i="4"/>
  <c r="I197" i="4"/>
  <c r="I191" i="4" l="1"/>
  <c r="I192" i="4" s="1"/>
  <c r="I201" i="4" s="1"/>
  <c r="J176" i="4" s="1"/>
  <c r="J114" i="4"/>
  <c r="J172" i="4"/>
  <c r="I215" i="4"/>
  <c r="I223" i="4"/>
  <c r="I216" i="4"/>
  <c r="I222" i="4"/>
  <c r="I214" i="4"/>
  <c r="I224" i="4"/>
  <c r="J152" i="4"/>
  <c r="J151" i="4"/>
  <c r="I193" i="4" l="1"/>
  <c r="I200" i="4"/>
  <c r="J175" i="4" s="1"/>
  <c r="J153" i="4" s="1"/>
  <c r="J150" i="4"/>
  <c r="J177" i="4"/>
  <c r="I226" i="4"/>
  <c r="J154" i="4"/>
  <c r="I218" i="4"/>
  <c r="J108" i="4"/>
  <c r="I202" i="4" l="1"/>
  <c r="I217" i="4"/>
  <c r="I225" i="4"/>
  <c r="J126" i="4"/>
  <c r="J30" i="4"/>
  <c r="J155" i="4"/>
  <c r="J158" i="4"/>
  <c r="J159" i="4" l="1"/>
  <c r="J160" i="4" s="1"/>
  <c r="J31" i="4"/>
  <c r="J22" i="4" s="1"/>
  <c r="J58" i="4"/>
  <c r="J59" i="4" l="1"/>
  <c r="J23" i="4"/>
  <c r="K66" i="4" s="1"/>
  <c r="J161" i="4"/>
  <c r="J162" i="4" s="1"/>
  <c r="J163" i="4" s="1"/>
  <c r="K65" i="4" l="1"/>
  <c r="K67" i="4" s="1"/>
  <c r="J42" i="4"/>
  <c r="J24" i="4"/>
  <c r="J164" i="4"/>
  <c r="J165" i="4" s="1"/>
  <c r="J167" i="4" s="1"/>
  <c r="K20" i="4" l="1"/>
  <c r="J43" i="4"/>
  <c r="K40" i="4" s="1"/>
  <c r="J36" i="4"/>
  <c r="J37" i="4" l="1"/>
  <c r="K34" i="4" s="1"/>
  <c r="J60" i="4"/>
  <c r="J62" i="4" s="1"/>
  <c r="J48" i="4"/>
  <c r="J109" i="4" l="1"/>
  <c r="J115" i="4" s="1"/>
  <c r="J116" i="4" s="1"/>
  <c r="J49" i="4"/>
  <c r="K46" i="4" s="1"/>
  <c r="J61" i="4"/>
  <c r="J54" i="4"/>
  <c r="J55" i="4" s="1"/>
  <c r="K113" i="4" l="1"/>
  <c r="K52" i="4"/>
  <c r="J110" i="4"/>
  <c r="J121" i="4"/>
  <c r="J122" i="4" s="1"/>
  <c r="K119" i="4" l="1"/>
  <c r="J127" i="4"/>
  <c r="K107" i="4"/>
  <c r="K97" i="4"/>
  <c r="K142" i="4" l="1"/>
  <c r="K96" i="4"/>
  <c r="J144" i="4"/>
  <c r="J128" i="4"/>
  <c r="K125" i="4" s="1"/>
  <c r="K98" i="4"/>
  <c r="K70" i="4" s="1"/>
  <c r="J181" i="4" l="1"/>
  <c r="J180" i="4"/>
  <c r="J182" i="4"/>
  <c r="J184" i="4"/>
  <c r="J183" i="4"/>
  <c r="J143" i="4"/>
  <c r="K99" i="4"/>
  <c r="K69" i="4"/>
  <c r="K71" i="4" s="1"/>
  <c r="K157" i="4"/>
  <c r="J185" i="4" l="1"/>
  <c r="J187" i="4"/>
  <c r="J188" i="4" s="1"/>
  <c r="J189" i="4" s="1"/>
  <c r="J198" i="4" s="1"/>
  <c r="K173" i="4" s="1"/>
  <c r="K73" i="4"/>
  <c r="K74" i="4" s="1"/>
  <c r="K35" i="4" l="1"/>
  <c r="K102" i="4"/>
  <c r="K76" i="4"/>
  <c r="K47" i="4" s="1"/>
  <c r="K151" i="4"/>
  <c r="J197" i="4"/>
  <c r="K172" i="4" s="1"/>
  <c r="J196" i="4"/>
  <c r="J190" i="4"/>
  <c r="J199" i="4" s="1"/>
  <c r="K174" i="4" s="1"/>
  <c r="K152" i="4" l="1"/>
  <c r="K103" i="4"/>
  <c r="K150" i="4"/>
  <c r="J191" i="4"/>
  <c r="J200" i="4" s="1"/>
  <c r="K175" i="4" s="1"/>
  <c r="K171" i="4"/>
  <c r="J223" i="4"/>
  <c r="J214" i="4"/>
  <c r="J224" i="4"/>
  <c r="J221" i="4"/>
  <c r="J222" i="4"/>
  <c r="J216" i="4"/>
  <c r="J213" i="4"/>
  <c r="J215" i="4"/>
  <c r="K53" i="4"/>
  <c r="J217" i="4" l="1"/>
  <c r="J225" i="4"/>
  <c r="K104" i="4"/>
  <c r="K149" i="4"/>
  <c r="K153" i="4"/>
  <c r="J192" i="4"/>
  <c r="J201" i="4" l="1"/>
  <c r="J193" i="4"/>
  <c r="L101" i="4"/>
  <c r="K120" i="4"/>
  <c r="K114" i="4" l="1"/>
  <c r="K176" i="4"/>
  <c r="J218" i="4"/>
  <c r="J226" i="4"/>
  <c r="J202" i="4"/>
  <c r="K154" i="4" l="1"/>
  <c r="K177" i="4"/>
  <c r="K108" i="4"/>
  <c r="K126" i="4" l="1"/>
  <c r="K30" i="4"/>
  <c r="K155" i="4"/>
  <c r="K158" i="4"/>
  <c r="K159" i="4" l="1"/>
  <c r="K160" i="4" s="1"/>
  <c r="K31" i="4"/>
  <c r="K22" i="4" s="1"/>
  <c r="K58" i="4"/>
  <c r="K161" i="4" l="1"/>
  <c r="K23" i="4"/>
  <c r="L66" i="4" s="1"/>
  <c r="K59" i="4"/>
  <c r="K162" i="4" l="1"/>
  <c r="K163" i="4" s="1"/>
  <c r="K42" i="4"/>
  <c r="L65" i="4"/>
  <c r="L67" i="4" s="1"/>
  <c r="K24" i="4"/>
  <c r="K164" i="4" l="1"/>
  <c r="K165" i="4" s="1"/>
  <c r="K167" i="4" s="1"/>
  <c r="L20" i="4"/>
  <c r="K43" i="4"/>
  <c r="L40" i="4" s="1"/>
  <c r="K36" i="4"/>
  <c r="K37" i="4" l="1"/>
  <c r="L34" i="4" s="1"/>
  <c r="K60" i="4"/>
  <c r="K62" i="4" s="1"/>
  <c r="K48" i="4"/>
  <c r="K49" i="4" l="1"/>
  <c r="L46" i="4" s="1"/>
  <c r="K61" i="4"/>
  <c r="K54" i="4"/>
  <c r="K55" i="4" s="1"/>
  <c r="K109" i="4"/>
  <c r="K115" i="4" l="1"/>
  <c r="K116" i="4" s="1"/>
  <c r="K110" i="4"/>
  <c r="L52" i="4"/>
  <c r="L107" i="4" l="1"/>
  <c r="L113" i="4"/>
  <c r="K121" i="4"/>
  <c r="K122" i="4" s="1"/>
  <c r="K127" i="4" l="1"/>
  <c r="L96" i="4"/>
  <c r="L142" i="4"/>
  <c r="L119" i="4"/>
  <c r="L97" i="4"/>
  <c r="L98" i="4" l="1"/>
  <c r="L70" i="4" s="1"/>
  <c r="L157" i="4"/>
  <c r="L69" i="4"/>
  <c r="K144" i="4"/>
  <c r="K128" i="4"/>
  <c r="L125" i="4" s="1"/>
  <c r="L71" i="4" l="1"/>
  <c r="L73" i="4" s="1"/>
  <c r="L74" i="4" s="1"/>
  <c r="L99" i="4"/>
  <c r="K180" i="4"/>
  <c r="K183" i="4"/>
  <c r="K181" i="4"/>
  <c r="K182" i="4"/>
  <c r="K184" i="4"/>
  <c r="K143" i="4"/>
  <c r="L76" i="4" l="1"/>
  <c r="L47" i="4" s="1"/>
  <c r="L35" i="4"/>
  <c r="L102" i="4"/>
  <c r="K185" i="4"/>
  <c r="K187" i="4"/>
  <c r="L103" i="4" l="1"/>
  <c r="L104" i="4" s="1"/>
  <c r="L53" i="4"/>
  <c r="K188" i="4"/>
  <c r="K197" i="4" s="1"/>
  <c r="L172" i="4" s="1"/>
  <c r="K196" i="4"/>
  <c r="K189" i="4" l="1"/>
  <c r="K198" i="4" s="1"/>
  <c r="L173" i="4" s="1"/>
  <c r="L151" i="4" s="1"/>
  <c r="L171" i="4"/>
  <c r="K214" i="4"/>
  <c r="K213" i="4"/>
  <c r="K222" i="4"/>
  <c r="K221" i="4"/>
  <c r="M101" i="4"/>
  <c r="L120" i="4"/>
  <c r="L114" i="4" s="1"/>
  <c r="L150" i="4"/>
  <c r="K223" i="4" l="1"/>
  <c r="K215" i="4"/>
  <c r="K190" i="4"/>
  <c r="K199" i="4" s="1"/>
  <c r="L174" i="4" s="1"/>
  <c r="L152" i="4" s="1"/>
  <c r="L149" i="4"/>
  <c r="L108" i="4"/>
  <c r="K191" i="4" l="1"/>
  <c r="K192" i="4" s="1"/>
  <c r="K216" i="4"/>
  <c r="K224" i="4"/>
  <c r="L126" i="4"/>
  <c r="L30" i="4"/>
  <c r="K200" i="4" l="1"/>
  <c r="L175" i="4" s="1"/>
  <c r="K201" i="4"/>
  <c r="L176" i="4" s="1"/>
  <c r="K193" i="4"/>
  <c r="L31" i="4"/>
  <c r="L22" i="4" s="1"/>
  <c r="L58" i="4"/>
  <c r="K218" i="4" l="1"/>
  <c r="K217" i="4"/>
  <c r="K202" i="4"/>
  <c r="K225" i="4"/>
  <c r="K226" i="4"/>
  <c r="L23" i="4"/>
  <c r="M66" i="4" s="1"/>
  <c r="L59" i="4"/>
  <c r="L153" i="4"/>
  <c r="L177" i="4"/>
  <c r="L154" i="4"/>
  <c r="L158" i="4" l="1"/>
  <c r="L155" i="4"/>
  <c r="L42" i="4"/>
  <c r="M21" i="4"/>
  <c r="M65" i="4"/>
  <c r="M67" i="4" s="1"/>
  <c r="L24" i="4"/>
  <c r="M28" i="4" l="1"/>
  <c r="M29" i="4" s="1"/>
  <c r="L43" i="4"/>
  <c r="M40" i="4" s="1"/>
  <c r="L36" i="4"/>
  <c r="M20" i="4"/>
  <c r="L159" i="4"/>
  <c r="L37" i="4" l="1"/>
  <c r="M34" i="4" s="1"/>
  <c r="L60" i="4"/>
  <c r="L62" i="4" s="1"/>
  <c r="L160" i="4"/>
  <c r="L161" i="4" s="1"/>
  <c r="L48" i="4"/>
  <c r="L49" i="4" l="1"/>
  <c r="M46" i="4" s="1"/>
  <c r="L61" i="4"/>
  <c r="L109" i="4"/>
  <c r="L115" i="4" s="1"/>
  <c r="L54" i="4"/>
  <c r="L55" i="4" s="1"/>
  <c r="L162" i="4"/>
  <c r="L163" i="4" s="1"/>
  <c r="L164" i="4" l="1"/>
  <c r="L165" i="4" s="1"/>
  <c r="L167" i="4" s="1"/>
  <c r="L116" i="4"/>
  <c r="L121" i="4"/>
  <c r="L122" i="4" s="1"/>
  <c r="M52" i="4"/>
  <c r="L110" i="4"/>
  <c r="L127" i="4" l="1"/>
  <c r="L144" i="4" s="1"/>
  <c r="M107" i="4"/>
  <c r="M119" i="4"/>
  <c r="M113" i="4"/>
  <c r="L128" i="4" l="1"/>
  <c r="M125" i="4" s="1"/>
  <c r="M96" i="4"/>
  <c r="M142" i="4"/>
  <c r="L181" i="4"/>
  <c r="L183" i="4"/>
  <c r="L184" i="4"/>
  <c r="L180" i="4"/>
  <c r="L182" i="4"/>
  <c r="M98" i="4"/>
  <c r="M70" i="4" s="1"/>
  <c r="M97" i="4"/>
  <c r="L143" i="4"/>
  <c r="M157" i="4" l="1"/>
  <c r="C142" i="4"/>
  <c r="L185" i="4"/>
  <c r="L187" i="4"/>
  <c r="L188" i="4" s="1"/>
  <c r="L197" i="4" s="1"/>
  <c r="M172" i="4" s="1"/>
  <c r="M69" i="4"/>
  <c r="M71" i="4" s="1"/>
  <c r="M99" i="4"/>
  <c r="L189" i="4" l="1"/>
  <c r="L198" i="4" s="1"/>
  <c r="M173" i="4" s="1"/>
  <c r="M151" i="4" s="1"/>
  <c r="M150" i="4"/>
  <c r="M73" i="4"/>
  <c r="M74" i="4" s="1"/>
  <c r="L196" i="4"/>
  <c r="L190" i="4" l="1"/>
  <c r="L199" i="4" s="1"/>
  <c r="M174" i="4" s="1"/>
  <c r="M152" i="4" s="1"/>
  <c r="M171" i="4"/>
  <c r="L213" i="4"/>
  <c r="L215" i="4"/>
  <c r="L214" i="4"/>
  <c r="L223" i="4"/>
  <c r="L222" i="4"/>
  <c r="L221" i="4"/>
  <c r="M35" i="4"/>
  <c r="M76" i="4"/>
  <c r="M47" i="4" s="1"/>
  <c r="M102" i="4"/>
  <c r="L216" i="4" l="1"/>
  <c r="L224" i="4"/>
  <c r="L191" i="4"/>
  <c r="M149" i="4"/>
  <c r="M103" i="4"/>
  <c r="M104" i="4" s="1"/>
  <c r="M53" i="4"/>
  <c r="L200" i="4" l="1"/>
  <c r="L192" i="4"/>
  <c r="M120" i="4"/>
  <c r="L201" i="4" l="1"/>
  <c r="M176" i="4" s="1"/>
  <c r="M154" i="4" s="1"/>
  <c r="L193" i="4"/>
  <c r="M175" i="4"/>
  <c r="L225" i="4"/>
  <c r="L217" i="4"/>
  <c r="M114" i="4"/>
  <c r="L202" i="4" l="1"/>
  <c r="L226" i="4"/>
  <c r="L218" i="4"/>
  <c r="M153" i="4"/>
  <c r="M177" i="4"/>
  <c r="M108" i="4"/>
  <c r="M158" i="4" l="1"/>
  <c r="M155" i="4"/>
  <c r="M126" i="4"/>
  <c r="M30" i="4"/>
  <c r="M159" i="4" l="1"/>
  <c r="M58" i="4"/>
  <c r="M31" i="4"/>
  <c r="M22" i="4" s="1"/>
  <c r="M160" i="4" l="1"/>
  <c r="M161" i="4" s="1"/>
  <c r="M162" i="4" s="1"/>
  <c r="M163" i="4" s="1"/>
  <c r="M164" i="4" s="1"/>
  <c r="M165" i="4" s="1"/>
  <c r="M167" i="4" s="1"/>
  <c r="M59" i="4"/>
  <c r="M23" i="4"/>
  <c r="M42" i="4" l="1"/>
  <c r="M24" i="4"/>
  <c r="M43" i="4" l="1"/>
  <c r="M36" i="4"/>
  <c r="M48" i="4" s="1"/>
  <c r="M49" i="4" l="1"/>
  <c r="M61" i="4"/>
  <c r="M37" i="4"/>
  <c r="M60" i="4"/>
  <c r="M62" i="4" s="1"/>
  <c r="M54" i="4"/>
  <c r="M55" i="4" s="1"/>
  <c r="M109" i="4" l="1"/>
  <c r="M115" i="4" l="1"/>
  <c r="M116" i="4" s="1"/>
  <c r="M110" i="4"/>
  <c r="M121" i="4" l="1"/>
  <c r="M122" i="4" s="1"/>
  <c r="M127" i="4" l="1"/>
  <c r="M144" i="4" l="1"/>
  <c r="M128" i="4"/>
  <c r="M183" i="4" l="1"/>
  <c r="M184" i="4"/>
  <c r="M180" i="4"/>
  <c r="M182" i="4"/>
  <c r="M181" i="4"/>
  <c r="M143" i="4"/>
  <c r="C182" i="4" l="1"/>
  <c r="M185" i="4"/>
  <c r="C185" i="4" s="1"/>
  <c r="C180" i="4"/>
  <c r="M187" i="4"/>
  <c r="M196" i="4" s="1"/>
  <c r="C184" i="4"/>
  <c r="C181" i="4"/>
  <c r="C183" i="4"/>
  <c r="M213" i="4" l="1"/>
  <c r="M221" i="4"/>
  <c r="C187" i="4"/>
  <c r="M188" i="4"/>
  <c r="C188" i="4" l="1"/>
  <c r="M197" i="4"/>
  <c r="M189" i="4"/>
  <c r="M214" i="4" l="1"/>
  <c r="M222" i="4"/>
  <c r="C189" i="4"/>
  <c r="M198" i="4"/>
  <c r="M223" i="4" s="1"/>
  <c r="M190" i="4"/>
  <c r="M215" i="4" l="1"/>
  <c r="C190" i="4"/>
  <c r="M199" i="4"/>
  <c r="M191" i="4"/>
  <c r="M224" i="4" l="1"/>
  <c r="M216" i="4"/>
  <c r="C191" i="4"/>
  <c r="M200" i="4"/>
  <c r="M217" i="4" s="1"/>
  <c r="M192" i="4"/>
  <c r="M193" i="4" s="1"/>
  <c r="C193" i="4" s="1"/>
  <c r="M225" i="4" l="1"/>
  <c r="C192" i="4"/>
  <c r="M201" i="4"/>
  <c r="M202" i="4" s="1"/>
  <c r="M218" i="4" l="1"/>
  <c r="M226" i="4"/>
</calcChain>
</file>

<file path=xl/sharedStrings.xml><?xml version="1.0" encoding="utf-8"?>
<sst xmlns="http://schemas.openxmlformats.org/spreadsheetml/2006/main" count="693" uniqueCount="181">
  <si>
    <t xml:space="preserve">Tenant </t>
  </si>
  <si>
    <t>City</t>
  </si>
  <si>
    <t>Passing Rent (Quarter)</t>
  </si>
  <si>
    <t xml:space="preserve">Net Rent </t>
  </si>
  <si>
    <t xml:space="preserve">ALA / MV </t>
  </si>
  <si>
    <t>Hema B.V.</t>
  </si>
  <si>
    <t>Alkmaar</t>
  </si>
  <si>
    <t>A1</t>
  </si>
  <si>
    <t>Almelo</t>
  </si>
  <si>
    <t>A2</t>
  </si>
  <si>
    <t>Alphen ad Rijn</t>
  </si>
  <si>
    <t>Amersfoort</t>
  </si>
  <si>
    <t>Amstelveen</t>
  </si>
  <si>
    <t>Amsterdam</t>
  </si>
  <si>
    <t>B1</t>
  </si>
  <si>
    <t>Apeldoorn</t>
  </si>
  <si>
    <t>Arnhem</t>
  </si>
  <si>
    <t>Assen</t>
  </si>
  <si>
    <t>Beverwijk</t>
  </si>
  <si>
    <t>Breda</t>
  </si>
  <si>
    <t>Bussum</t>
  </si>
  <si>
    <t>Delft</t>
  </si>
  <si>
    <t>Den Bosch</t>
  </si>
  <si>
    <t>Den Haag</t>
  </si>
  <si>
    <t>Den Helder</t>
  </si>
  <si>
    <t>Deventer</t>
  </si>
  <si>
    <t>Doetinchem</t>
  </si>
  <si>
    <t>Dordrecht</t>
  </si>
  <si>
    <t>Ede</t>
  </si>
  <si>
    <t xml:space="preserve">Eindhoven Woensel </t>
  </si>
  <si>
    <t>Emmen</t>
  </si>
  <si>
    <t>Enschede</t>
  </si>
  <si>
    <t>Gouda</t>
  </si>
  <si>
    <t>Groningen</t>
  </si>
  <si>
    <t>Haarlem</t>
  </si>
  <si>
    <t>Helmond</t>
  </si>
  <si>
    <t>Hengelo</t>
  </si>
  <si>
    <t>Hilversum</t>
  </si>
  <si>
    <t>Ijmuiden</t>
  </si>
  <si>
    <t>Leeuwarden</t>
  </si>
  <si>
    <t>Leiden</t>
  </si>
  <si>
    <t>Leidschendam</t>
  </si>
  <si>
    <t>Maastricht</t>
  </si>
  <si>
    <t>Nijmegen</t>
  </si>
  <si>
    <t>Oosterhout</t>
  </si>
  <si>
    <t>Roermond</t>
  </si>
  <si>
    <t>Rotterdam</t>
  </si>
  <si>
    <t>Sittard</t>
  </si>
  <si>
    <t>Tilburg</t>
  </si>
  <si>
    <t>Utrecht</t>
  </si>
  <si>
    <t>Voorburg</t>
  </si>
  <si>
    <t>Zaandam</t>
  </si>
  <si>
    <t>Zeist</t>
  </si>
  <si>
    <t>Zwolle</t>
  </si>
  <si>
    <t>V&amp;D Warenhuizen B.V.</t>
  </si>
  <si>
    <t xml:space="preserve">De Bijenkorf B.V. </t>
  </si>
  <si>
    <t xml:space="preserve">Primark Netherlands B.V. </t>
  </si>
  <si>
    <t xml:space="preserve">Eindhoven  </t>
  </si>
  <si>
    <t>Takko Nederland B.V.</t>
  </si>
  <si>
    <t xml:space="preserve">Goes </t>
  </si>
  <si>
    <t>B2</t>
  </si>
  <si>
    <t>Total</t>
  </si>
  <si>
    <t xml:space="preserve">Total </t>
  </si>
  <si>
    <t xml:space="preserve">Lease Expiry Date </t>
  </si>
  <si>
    <t>Allocated Loan Amount  (ALA)</t>
  </si>
  <si>
    <t xml:space="preserve">Property Quality </t>
  </si>
  <si>
    <t>August 2014 Refinancing Properties portfolio</t>
  </si>
  <si>
    <t>Remaining Properties portfolio</t>
  </si>
  <si>
    <t>NLA</t>
  </si>
  <si>
    <t>Current Properties portfolio</t>
  </si>
  <si>
    <t>Market Value (MV)</t>
  </si>
  <si>
    <t>Passing Rent (PR)</t>
  </si>
  <si>
    <t>PR / MV</t>
  </si>
  <si>
    <t xml:space="preserve">This file forms part of the Presentation "Leo Mesdag - Presentation Modification 13 March 2014.pdf" and is subject to the disclaimer of page 2 of this Presentation.  </t>
  </si>
  <si>
    <t>LEO-MESDAG SIMPLIFIED CASH FLOW MODEL POST-MODIFICATION</t>
  </si>
  <si>
    <t>A</t>
  </si>
  <si>
    <t>(Amounts in EURO x 1,000,000)</t>
  </si>
  <si>
    <t>B</t>
  </si>
  <si>
    <t>Quarter</t>
  </si>
  <si>
    <t>Half-year</t>
  </si>
  <si>
    <t>Year</t>
  </si>
  <si>
    <t>Q End</t>
  </si>
  <si>
    <t>Period</t>
  </si>
  <si>
    <t>Duration</t>
  </si>
  <si>
    <t>BORROWER LEVEL</t>
  </si>
  <si>
    <t>General</t>
  </si>
  <si>
    <t>Period elector</t>
  </si>
  <si>
    <t>MV development</t>
  </si>
  <si>
    <t>MV properties BoP</t>
  </si>
  <si>
    <t>Scheduled Properties Released as % of original</t>
  </si>
  <si>
    <t>Refi Requirements met = 1</t>
  </si>
  <si>
    <t>Actual Properties Released as % of original</t>
  </si>
  <si>
    <t>MV properties EoP</t>
  </si>
  <si>
    <t>Scheduled Refis</t>
  </si>
  <si>
    <t>Expected Refi LTV</t>
  </si>
  <si>
    <t>MV Refi Properties</t>
  </si>
  <si>
    <t>Expected Refinancing Amount</t>
  </si>
  <si>
    <t>Minimum Refi ALA current docs</t>
  </si>
  <si>
    <t>(Shortfall) / Surplus Refi properties</t>
  </si>
  <si>
    <t>IEF's "Refinance Support Commitment Ledger"</t>
  </si>
  <si>
    <t>Balance BoP</t>
  </si>
  <si>
    <t>Creditings (plus) Ledger</t>
  </si>
  <si>
    <t>Debitings (use) Ledger</t>
  </si>
  <si>
    <t>Balance EoP</t>
  </si>
  <si>
    <t>Disposal Excess Sub-Ledger</t>
  </si>
  <si>
    <t>Operation Cash Sweep Excess Sub-Ledger</t>
  </si>
  <si>
    <r>
      <t>Total Refi Ledger ("</t>
    </r>
    <r>
      <rPr>
        <b/>
        <i/>
        <sz val="10"/>
        <color rgb="FF002060"/>
        <rFont val="Verdana"/>
        <family val="2"/>
      </rPr>
      <t>Available Shortfall Amount</t>
    </r>
    <r>
      <rPr>
        <b/>
        <sz val="10"/>
        <color rgb="FF002060"/>
        <rFont val="Verdana"/>
        <family val="2"/>
      </rPr>
      <t>")</t>
    </r>
  </si>
  <si>
    <t>Actual Refi Proceeds</t>
  </si>
  <si>
    <t>Advanced New Lender</t>
  </si>
  <si>
    <t>Drawn from IEF Commitment Account</t>
  </si>
  <si>
    <t>Shortfall covered by Excess Ledger</t>
  </si>
  <si>
    <t>Actual Cash Refi Proceeds for Repayment A1</t>
  </si>
  <si>
    <t>Borrower Group P&amp;L</t>
  </si>
  <si>
    <t>Rental Income</t>
  </si>
  <si>
    <t>Operating Costs</t>
  </si>
  <si>
    <t>Net Operating Income</t>
  </si>
  <si>
    <t>Interest Costs Senior Finance Facility</t>
  </si>
  <si>
    <t>Interest Costs Subordinated Loan</t>
  </si>
  <si>
    <t>Taxable Income</t>
  </si>
  <si>
    <t>CIT</t>
  </si>
  <si>
    <t>Free Cash Flow</t>
  </si>
  <si>
    <t>Senior Facility A1 Operational Cash Sweep Available Amount</t>
  </si>
  <si>
    <t>FUNDING</t>
  </si>
  <si>
    <t>Senior A1  Loan</t>
  </si>
  <si>
    <t>Senior A1 Loan Ranking</t>
  </si>
  <si>
    <t>Swap Rate</t>
  </si>
  <si>
    <t>Senior A1 Loan Margin % p.a.</t>
  </si>
  <si>
    <t>Senior A1 Loan Interest % p.a.</t>
  </si>
  <si>
    <t>Senior A2  Loan</t>
  </si>
  <si>
    <t>Senior A2 Loan Ranking</t>
  </si>
  <si>
    <t xml:space="preserve">Swap Rate </t>
  </si>
  <si>
    <t>Senior A2 Loan Margin % p.a.</t>
  </si>
  <si>
    <t>Senior A2 Loan Interest % p.a.</t>
  </si>
  <si>
    <t>Subordinated Loan</t>
  </si>
  <si>
    <t>Subordinated Loan Ranking</t>
  </si>
  <si>
    <t>Subordinated Loan % p.a.</t>
  </si>
  <si>
    <t>INTEREST</t>
  </si>
  <si>
    <t>Total Interest</t>
  </si>
  <si>
    <t>Cash Balance</t>
  </si>
  <si>
    <t xml:space="preserve">Cash Flow </t>
  </si>
  <si>
    <t>Cash Sweep</t>
  </si>
  <si>
    <t xml:space="preserve">Cash Balance </t>
  </si>
  <si>
    <t>Drawing Period</t>
  </si>
  <si>
    <t>Repayment Period</t>
  </si>
  <si>
    <t>Total Funding</t>
  </si>
  <si>
    <t>Balance Bop</t>
  </si>
  <si>
    <t>Drawings Period</t>
  </si>
  <si>
    <t>Repayments Period</t>
  </si>
  <si>
    <t>LEO-MESDAG LEVEL</t>
  </si>
  <si>
    <t>3-mos Eur</t>
  </si>
  <si>
    <t>Interest Margin Notes (bppa)</t>
  </si>
  <si>
    <t>Class A</t>
  </si>
  <si>
    <t>Class B</t>
  </si>
  <si>
    <t>Class C</t>
  </si>
  <si>
    <t>Class D</t>
  </si>
  <si>
    <t>Class E</t>
  </si>
  <si>
    <t>Class Y</t>
  </si>
  <si>
    <t>Interest Available Funds</t>
  </si>
  <si>
    <t>Principal Available Funds Sequential</t>
  </si>
  <si>
    <t>Principal Available Funds Pro Rata</t>
  </si>
  <si>
    <t>Amounts Due Interest Waterfall</t>
  </si>
  <si>
    <t>Senior Expenses</t>
  </si>
  <si>
    <t>Class X</t>
  </si>
  <si>
    <t>Amounts Paid Interest Waterfall</t>
  </si>
  <si>
    <t>Excess (shortfall) Interest Waterfall</t>
  </si>
  <si>
    <t>Principal BoP</t>
  </si>
  <si>
    <t>Pro Rata Principal Waterfall</t>
  </si>
  <si>
    <t>Sequential Principal Waterfall</t>
  </si>
  <si>
    <t>Principal EoP</t>
  </si>
  <si>
    <t>Default LTV EoP Current Transaction Structure</t>
  </si>
  <si>
    <t>Default LTV EoP</t>
  </si>
  <si>
    <t>Refi LTV EoP</t>
  </si>
  <si>
    <t>Inflation</t>
  </si>
  <si>
    <t>Sheet "Simplified Model":</t>
  </si>
  <si>
    <t>Vacant Posession Value</t>
  </si>
  <si>
    <t>ERV</t>
  </si>
  <si>
    <t xml:space="preserve">Year </t>
  </si>
  <si>
    <t>Overview Properties</t>
  </si>
  <si>
    <t>(Amounts in EURO)</t>
  </si>
  <si>
    <t>ERV Year</t>
  </si>
  <si>
    <r>
      <t xml:space="preserve">This overly simplified cash flow model is purely meant to facilitate your understanding of the mechanism of the modification proposal 
as set out in the Presentation and no reliance may be placed for any purposes whatsoever on the information, opinions, forecasts 
and assumptions contained in the model or on its completeness, accuracy or fairness. No representation or warranty, express 
or implied, is given by or on behalf of the Borrower, or any of its directors, officers, affiliates or employees as to the accuracy or 
completeness of the information contained in this document and no liability is accepted for any loss, arising, directly or indirectly, 
from any use of such information.
</t>
    </r>
    <r>
      <rPr>
        <b/>
        <sz val="10"/>
        <color rgb="FF002060"/>
        <rFont val="Verdana"/>
        <family val="2"/>
      </rPr>
      <t xml:space="preserve">Your are strongly advised to use your own model in assessing the consequences of the modification proposal.
</t>
    </r>
    <r>
      <rPr>
        <sz val="10"/>
        <color rgb="FF002060"/>
        <rFont val="Verdana"/>
        <family val="2"/>
      </rPr>
      <t xml:space="preserve">Please only change values of the 2 cells which are surfaced </t>
    </r>
    <r>
      <rPr>
        <sz val="10"/>
        <color rgb="FFFFC000"/>
        <rFont val="Verdana"/>
        <family val="2"/>
      </rPr>
      <t>orange.</t>
    </r>
    <r>
      <rPr>
        <sz val="10"/>
        <color rgb="FF002060"/>
        <rFont val="Verdana"/>
        <family val="2"/>
      </rPr>
      <t xml:space="preserve"> Changes to any other cells may impair the integrity of the model and numbers presented in any cell.</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</si>
</sst>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64" formatCode="0.0%"/>
    <numFmt numFmtId="165" formatCode="_(* #,##0_);_(* \(#,##0\);_(* &quot;-&quot;??_);_(@_)"/>
    <numFmt numFmtId="166" formatCode="d\-mm\-yy;@"/>
    <numFmt numFmtId="167" formatCode="dd\ mmm\ yyyy"/>
    <numFmt numFmtId="168" formatCode="_(* #,##0.0_);_(* \(#,##0.0\);_(* &quot;-&quot;??_);_(@_)"/>
    <numFmt numFmtId="169" formatCode="_-* #,##0_-;\-* #,##0_-;_-* &quot;-&quot;??_-;_-@_-"/>
    <numFmt numFmtId="170" formatCode="0.000%"/>
    <numFmt numFmtId="171" formatCode="#,##0;[Red]\(#,##0\)"/>
    <numFmt numFmtId="172" formatCode="mmm\ yyyy"/>
    <numFmt numFmtId="173" formatCode="mmm"/>
    <numFmt numFmtId="174" formatCode="_-* #,##0.00_-;_-* #,##0.00\-;_-* &quot;-&quot;??_-;_-@_-"/>
    <numFmt numFmtId="175" formatCode="yyyy"/>
    <numFmt numFmtId="176" formatCode="#,###;[Red]\(#,###\)"/>
    <numFmt numFmtId="177" formatCode="####"/>
    <numFmt numFmtId="178" formatCode="####.00"/>
    <numFmt numFmtId="179" formatCode="#,##0.00;[Red]\(#,##0.00\);\ \-"/>
    <numFmt numFmtId="180" formatCode="#,##0;[Red]\(#,##0\);\ \-"/>
    <numFmt numFmtId="181" formatCode="#,##0.000;[Red]\(#,##0.000\);\ \-"/>
    <numFmt numFmtId="182" formatCode="#,##0.0%;[Red]\(#,##0.0\)%;\ \-"/>
    <numFmt numFmtId="183" formatCode="_(* #,##0.00_);_(* \(#,##0.00\);_(* &quot;-&quot;??_);_(@_)"/>
    <numFmt numFmtId="184" formatCode="0.0%;[Red]General;\-"/>
    <numFmt numFmtId="185" formatCode="#,##0.0;[Red]\(#,##0.0\);\ \-"/>
    <numFmt numFmtId="186" formatCode="#,##0.00%;[Red]\(#,##0.00\)%;\ \-"/>
    <numFmt numFmtId="187" formatCode="#,##0.0;[Red]\(#,##0.0\)"/>
    <numFmt numFmtId="188" formatCode="#,###.#;[Red]\(#,###.#\)"/>
  </numFmts>
  <fonts count="30" x14ac:knownFonts="1">
    <font>
      <sz val="11"/>
      <color theme="1"/>
      <name val="Calibri"/>
      <family val="2"/>
      <scheme val="minor"/>
    </font>
    <font>
      <sz val="11"/>
      <color theme="1"/>
      <name val="Calibri"/>
      <family val="2"/>
      <scheme val="minor"/>
    </font>
    <font>
      <sz val="10"/>
      <name val="Verdana"/>
      <family val="2"/>
    </font>
    <font>
      <b/>
      <sz val="10"/>
      <color theme="0"/>
      <name val="Verdana"/>
      <family val="2"/>
    </font>
    <font>
      <b/>
      <sz val="10"/>
      <name val="Verdana"/>
      <family val="2"/>
    </font>
    <font>
      <b/>
      <sz val="10"/>
      <color rgb="FFFFFFFF"/>
      <name val="Verdana"/>
      <family val="2"/>
    </font>
    <font>
      <sz val="11"/>
      <color theme="1"/>
      <name val="Verdana"/>
      <family val="2"/>
    </font>
    <font>
      <sz val="8"/>
      <color rgb="FF002060"/>
      <name val="Verdana"/>
      <family val="2"/>
    </font>
    <font>
      <sz val="10"/>
      <color theme="0"/>
      <name val="Verdana"/>
      <family val="2"/>
    </font>
    <font>
      <sz val="10"/>
      <name val="Arial"/>
      <family val="2"/>
    </font>
    <font>
      <b/>
      <sz val="24"/>
      <color rgb="FF002060"/>
      <name val="Verdana"/>
      <family val="2"/>
    </font>
    <font>
      <b/>
      <sz val="24"/>
      <color theme="0"/>
      <name val="Verdana"/>
      <family val="2"/>
    </font>
    <font>
      <sz val="10"/>
      <color rgb="FF002060"/>
      <name val="Verdana"/>
      <family val="2"/>
    </font>
    <font>
      <b/>
      <sz val="10"/>
      <color rgb="FF002060"/>
      <name val="Verdana"/>
      <family val="2"/>
    </font>
    <font>
      <i/>
      <sz val="8"/>
      <color rgb="FF002060"/>
      <name val="Verdana"/>
      <family val="2"/>
    </font>
    <font>
      <b/>
      <sz val="8"/>
      <color rgb="FF002060"/>
      <name val="Verdana"/>
      <family val="2"/>
    </font>
    <font>
      <sz val="8"/>
      <color theme="0"/>
      <name val="Verdana"/>
      <family val="2"/>
    </font>
    <font>
      <b/>
      <sz val="14"/>
      <color theme="0"/>
      <name val="Verdana"/>
      <family val="2"/>
    </font>
    <font>
      <b/>
      <i/>
      <sz val="10"/>
      <color theme="0"/>
      <name val="Verdana"/>
      <family val="2"/>
    </font>
    <font>
      <b/>
      <i/>
      <sz val="10"/>
      <color rgb="FF002060"/>
      <name val="Verdana"/>
      <family val="2"/>
    </font>
    <font>
      <i/>
      <sz val="10"/>
      <color rgb="FF002060"/>
      <name val="Verdana"/>
      <family val="2"/>
    </font>
    <font>
      <b/>
      <sz val="16"/>
      <color rgb="FF002060"/>
      <name val="Verdana"/>
      <family val="2"/>
    </font>
    <font>
      <sz val="10"/>
      <color rgb="FF002060"/>
      <name val="Arial"/>
      <family val="2"/>
    </font>
    <font>
      <b/>
      <sz val="10"/>
      <color rgb="FF002060"/>
      <name val="Arial"/>
      <family val="2"/>
    </font>
    <font>
      <b/>
      <sz val="10"/>
      <color rgb="FFFF0000"/>
      <name val="Verdana"/>
      <family val="2"/>
    </font>
    <font>
      <sz val="10"/>
      <color rgb="FFFFC000"/>
      <name val="Verdana"/>
      <family val="2"/>
    </font>
    <font>
      <sz val="8"/>
      <name val="Verdana"/>
      <family val="2"/>
    </font>
    <font>
      <b/>
      <sz val="8"/>
      <color theme="0"/>
      <name val="Verdana"/>
      <family val="2"/>
    </font>
    <font>
      <b/>
      <sz val="24"/>
      <color rgb="FF000066"/>
      <name val="Verdana"/>
      <family val="2"/>
    </font>
    <font>
      <i/>
      <sz val="8"/>
      <name val="Verdana"/>
      <family val="2"/>
    </font>
  </fonts>
  <fills count="9">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002060"/>
        <bgColor rgb="FF000000"/>
      </patternFill>
    </fill>
    <fill>
      <patternFill patternType="solid">
        <fgColor rgb="FFFFFFFF"/>
        <bgColor rgb="FF000000"/>
      </patternFill>
    </fill>
    <fill>
      <patternFill patternType="solid">
        <fgColor indexed="18"/>
        <bgColor indexed="64"/>
      </patternFill>
    </fill>
    <fill>
      <patternFill patternType="solid">
        <fgColor indexed="22"/>
        <bgColor indexed="64"/>
      </patternFill>
    </fill>
    <fill>
      <patternFill patternType="solid">
        <fgColor indexed="51"/>
        <bgColor indexed="64"/>
      </patternFill>
    </fill>
  </fills>
  <borders count="3">
    <border>
      <left/>
      <right/>
      <top/>
      <bottom/>
      <diagonal/>
    </border>
    <border>
      <left/>
      <right/>
      <top style="thin">
        <color indexed="64"/>
      </top>
      <bottom style="thin">
        <color indexed="64"/>
      </bottom>
      <diagonal/>
    </border>
    <border>
      <left/>
      <right/>
      <top style="thin">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4" fontId="9" fillId="0" borderId="0" applyFont="0" applyFill="0" applyBorder="0" applyAlignment="0" applyProtection="0"/>
    <xf numFmtId="9" fontId="9" fillId="0" borderId="0" applyFont="0" applyFill="0" applyBorder="0" applyAlignment="0" applyProtection="0"/>
    <xf numFmtId="183" fontId="9" fillId="0" borderId="0" applyFont="0" applyFill="0" applyBorder="0" applyAlignment="0" applyProtection="0"/>
  </cellStyleXfs>
  <cellXfs count="170">
    <xf numFmtId="0" fontId="0" fillId="0" borderId="0" xfId="0"/>
    <xf numFmtId="0" fontId="3" fillId="2" borderId="0" xfId="0" applyFont="1" applyFill="1"/>
    <xf numFmtId="0" fontId="5" fillId="4" borderId="0" xfId="0" applyFont="1" applyFill="1" applyBorder="1" applyAlignment="1">
      <alignment vertical="center"/>
    </xf>
    <xf numFmtId="0" fontId="5" fillId="4" borderId="0" xfId="0" applyFont="1" applyFill="1" applyBorder="1"/>
    <xf numFmtId="0" fontId="5" fillId="4" borderId="0" xfId="0" applyFont="1" applyFill="1" applyBorder="1" applyAlignment="1">
      <alignment horizontal="center" vertical="justify"/>
    </xf>
    <xf numFmtId="0" fontId="5" fillId="4" borderId="0" xfId="0" applyFont="1" applyFill="1" applyBorder="1" applyAlignment="1">
      <alignment horizontal="left" vertical="justify"/>
    </xf>
    <xf numFmtId="0" fontId="2" fillId="5" borderId="0" xfId="0" applyFont="1" applyFill="1" applyBorder="1" applyAlignment="1">
      <alignment horizontal="center"/>
    </xf>
    <xf numFmtId="0" fontId="2" fillId="5" borderId="0" xfId="0" applyFont="1" applyFill="1" applyBorder="1" applyAlignment="1">
      <alignment vertical="justify"/>
    </xf>
    <xf numFmtId="0" fontId="2" fillId="5" borderId="0" xfId="0" applyFont="1" applyFill="1" applyBorder="1"/>
    <xf numFmtId="165" fontId="2" fillId="5" borderId="0" xfId="1" applyNumberFormat="1" applyFont="1" applyFill="1" applyBorder="1"/>
    <xf numFmtId="9" fontId="2" fillId="5" borderId="0" xfId="2" applyFont="1" applyFill="1" applyBorder="1"/>
    <xf numFmtId="164" fontId="2" fillId="5" borderId="0" xfId="2" applyNumberFormat="1" applyFont="1" applyFill="1" applyBorder="1"/>
    <xf numFmtId="167" fontId="2" fillId="5" borderId="0" xfId="0" applyNumberFormat="1" applyFont="1" applyFill="1" applyBorder="1" applyAlignment="1">
      <alignment horizontal="right"/>
    </xf>
    <xf numFmtId="168" fontId="2" fillId="5" borderId="0" xfId="1" applyNumberFormat="1" applyFont="1" applyFill="1" applyBorder="1"/>
    <xf numFmtId="0" fontId="4" fillId="5" borderId="1" xfId="0" applyFont="1" applyFill="1" applyBorder="1"/>
    <xf numFmtId="164" fontId="4" fillId="5" borderId="1" xfId="2" applyNumberFormat="1" applyFont="1" applyFill="1" applyBorder="1"/>
    <xf numFmtId="167" fontId="4" fillId="5" borderId="1" xfId="0" applyNumberFormat="1" applyFont="1" applyFill="1" applyBorder="1" applyAlignment="1">
      <alignment horizontal="right"/>
    </xf>
    <xf numFmtId="0" fontId="5" fillId="4" borderId="0" xfId="0" applyFont="1" applyFill="1" applyBorder="1" applyAlignment="1">
      <alignment horizontal="left"/>
    </xf>
    <xf numFmtId="0" fontId="2" fillId="5" borderId="0" xfId="0" applyFont="1" applyFill="1" applyBorder="1" applyAlignment="1">
      <alignment horizontal="left"/>
    </xf>
    <xf numFmtId="165" fontId="4" fillId="5" borderId="1" xfId="0" applyNumberFormat="1" applyFont="1" applyFill="1" applyBorder="1" applyAlignment="1">
      <alignment horizontal="left"/>
    </xf>
    <xf numFmtId="14" fontId="5" fillId="4" borderId="0" xfId="0" applyNumberFormat="1" applyFont="1" applyFill="1" applyBorder="1" applyAlignment="1">
      <alignment horizontal="right" vertical="justify"/>
    </xf>
    <xf numFmtId="164" fontId="5" fillId="4" borderId="0" xfId="2" applyNumberFormat="1" applyFont="1" applyFill="1" applyBorder="1" applyAlignment="1">
      <alignment horizontal="right" vertical="justify"/>
    </xf>
    <xf numFmtId="169" fontId="2" fillId="5" borderId="0" xfId="1" applyNumberFormat="1" applyFont="1" applyFill="1" applyBorder="1" applyAlignment="1">
      <alignment horizontal="left"/>
    </xf>
    <xf numFmtId="169" fontId="2" fillId="5" borderId="0" xfId="1" applyNumberFormat="1" applyFont="1" applyFill="1" applyBorder="1"/>
    <xf numFmtId="0" fontId="5" fillId="4" borderId="0" xfId="0" applyFont="1" applyFill="1" applyBorder="1" applyAlignment="1">
      <alignment horizontal="right" vertical="justify"/>
    </xf>
    <xf numFmtId="0" fontId="5" fillId="4" borderId="0" xfId="0" applyFont="1" applyFill="1" applyBorder="1" applyAlignment="1">
      <alignment horizontal="right"/>
    </xf>
    <xf numFmtId="166" fontId="2" fillId="5" borderId="0" xfId="0" applyNumberFormat="1" applyFont="1" applyFill="1" applyBorder="1" applyAlignment="1">
      <alignment horizontal="right"/>
    </xf>
    <xf numFmtId="0" fontId="2" fillId="5" borderId="0" xfId="0" applyFont="1" applyFill="1" applyBorder="1" applyAlignment="1">
      <alignment horizontal="right"/>
    </xf>
    <xf numFmtId="165" fontId="2" fillId="5" borderId="0" xfId="1" applyNumberFormat="1" applyFont="1" applyFill="1" applyBorder="1" applyAlignment="1">
      <alignment horizontal="right"/>
    </xf>
    <xf numFmtId="164" fontId="3" fillId="2" borderId="0" xfId="2" applyNumberFormat="1" applyFont="1" applyFill="1" applyAlignment="1">
      <alignment horizontal="right" vertical="justify"/>
    </xf>
    <xf numFmtId="0" fontId="6" fillId="3" borderId="0" xfId="0" applyFont="1" applyFill="1"/>
    <xf numFmtId="0" fontId="6" fillId="3" borderId="0" xfId="0" applyFont="1" applyFill="1" applyAlignment="1">
      <alignment horizontal="right"/>
    </xf>
    <xf numFmtId="0" fontId="2" fillId="3" borderId="0" xfId="0" applyFont="1" applyFill="1" applyBorder="1"/>
    <xf numFmtId="169" fontId="2" fillId="3" borderId="0" xfId="0" applyNumberFormat="1" applyFont="1" applyFill="1" applyBorder="1" applyAlignment="1">
      <alignment horizontal="left"/>
    </xf>
    <xf numFmtId="165" fontId="2" fillId="3" borderId="0" xfId="0" applyNumberFormat="1" applyFont="1" applyFill="1" applyBorder="1"/>
    <xf numFmtId="164" fontId="2" fillId="3" borderId="0" xfId="2" applyNumberFormat="1" applyFont="1" applyFill="1" applyBorder="1" applyAlignment="1">
      <alignment horizontal="left"/>
    </xf>
    <xf numFmtId="170" fontId="2" fillId="3" borderId="0" xfId="2" applyNumberFormat="1" applyFont="1" applyFill="1" applyBorder="1" applyAlignment="1">
      <alignment horizontal="left"/>
    </xf>
    <xf numFmtId="0" fontId="10" fillId="0" borderId="0" xfId="3" applyFont="1" applyFill="1" applyBorder="1"/>
    <xf numFmtId="171" fontId="10" fillId="0" borderId="0" xfId="3" applyNumberFormat="1" applyFont="1" applyFill="1" applyBorder="1"/>
    <xf numFmtId="0" fontId="11" fillId="0" borderId="0" xfId="3" applyFont="1" applyFill="1" applyBorder="1"/>
    <xf numFmtId="0" fontId="12" fillId="0" borderId="0" xfId="3" applyFont="1"/>
    <xf numFmtId="171" fontId="13" fillId="0" borderId="0" xfId="3" applyNumberFormat="1" applyFont="1" applyBorder="1"/>
    <xf numFmtId="0" fontId="12" fillId="0" borderId="0" xfId="3" applyFont="1" applyBorder="1"/>
    <xf numFmtId="0" fontId="8" fillId="0" borderId="0" xfId="3" applyFont="1" applyBorder="1"/>
    <xf numFmtId="0" fontId="14" fillId="0" borderId="0" xfId="3" applyFont="1" applyFill="1" applyAlignment="1">
      <alignment horizontal="left"/>
    </xf>
    <xf numFmtId="0" fontId="7" fillId="0" borderId="0" xfId="3" applyFont="1" applyFill="1"/>
    <xf numFmtId="171" fontId="15" fillId="0" borderId="0" xfId="3" applyNumberFormat="1" applyFont="1" applyFill="1" applyBorder="1"/>
    <xf numFmtId="0" fontId="7" fillId="0" borderId="0" xfId="3" applyFont="1" applyFill="1" applyBorder="1"/>
    <xf numFmtId="0" fontId="16" fillId="0" borderId="0" xfId="3" applyFont="1" applyFill="1" applyBorder="1"/>
    <xf numFmtId="0" fontId="8" fillId="6" borderId="0" xfId="3" applyFont="1" applyFill="1" applyAlignment="1">
      <alignment horizontal="right" wrapText="1"/>
    </xf>
    <xf numFmtId="172" fontId="17" fillId="6" borderId="0" xfId="3" applyNumberFormat="1" applyFont="1" applyFill="1" applyAlignment="1">
      <alignment horizontal="left" vertical="top" wrapText="1"/>
    </xf>
    <xf numFmtId="0" fontId="18" fillId="6" borderId="0" xfId="3" applyFont="1" applyFill="1" applyAlignment="1">
      <alignment horizontal="right" wrapText="1"/>
    </xf>
    <xf numFmtId="173" fontId="3" fillId="6" borderId="0" xfId="3" applyNumberFormat="1" applyFont="1" applyFill="1" applyAlignment="1">
      <alignment horizontal="right" wrapText="1"/>
    </xf>
    <xf numFmtId="173" fontId="3" fillId="6" borderId="0" xfId="4" quotePrefix="1" applyNumberFormat="1" applyFont="1" applyFill="1" applyBorder="1" applyAlignment="1">
      <alignment horizontal="right" wrapText="1"/>
    </xf>
    <xf numFmtId="175" fontId="3" fillId="6" borderId="0" xfId="3" applyNumberFormat="1" applyFont="1" applyFill="1" applyAlignment="1">
      <alignment horizontal="right" wrapText="1"/>
    </xf>
    <xf numFmtId="0" fontId="12" fillId="7" borderId="0" xfId="3" applyFont="1" applyFill="1" applyAlignment="1">
      <alignment horizontal="right" wrapText="1"/>
    </xf>
    <xf numFmtId="0" fontId="19" fillId="7" borderId="0" xfId="3" applyFont="1" applyFill="1" applyAlignment="1">
      <alignment horizontal="right" wrapText="1"/>
    </xf>
    <xf numFmtId="0" fontId="13" fillId="7" borderId="0" xfId="3" applyFont="1" applyFill="1" applyAlignment="1">
      <alignment horizontal="right" wrapText="1"/>
    </xf>
    <xf numFmtId="176" fontId="13" fillId="7" borderId="0" xfId="4" quotePrefix="1" applyNumberFormat="1" applyFont="1" applyFill="1" applyBorder="1" applyAlignment="1">
      <alignment horizontal="right" wrapText="1"/>
    </xf>
    <xf numFmtId="177" fontId="12" fillId="7" borderId="0" xfId="3" applyNumberFormat="1" applyFont="1" applyFill="1" applyAlignment="1">
      <alignment horizontal="right" wrapText="1"/>
    </xf>
    <xf numFmtId="172" fontId="13" fillId="7" borderId="0" xfId="3" applyNumberFormat="1" applyFont="1" applyFill="1" applyAlignment="1">
      <alignment horizontal="left" wrapText="1"/>
    </xf>
    <xf numFmtId="178" fontId="20" fillId="7" borderId="0" xfId="4" quotePrefix="1" applyNumberFormat="1" applyFont="1" applyFill="1" applyBorder="1" applyAlignment="1">
      <alignment horizontal="right" wrapText="1"/>
    </xf>
    <xf numFmtId="0" fontId="20" fillId="7" borderId="0" xfId="3" applyFont="1" applyFill="1" applyAlignment="1">
      <alignment horizontal="right" wrapText="1"/>
    </xf>
    <xf numFmtId="179" fontId="20" fillId="7" borderId="0" xfId="4" quotePrefix="1" applyNumberFormat="1" applyFont="1" applyFill="1" applyBorder="1" applyAlignment="1">
      <alignment horizontal="right" wrapText="1"/>
    </xf>
    <xf numFmtId="177" fontId="12" fillId="0" borderId="0" xfId="3" applyNumberFormat="1" applyFont="1" applyFill="1" applyAlignment="1">
      <alignment horizontal="right" wrapText="1"/>
    </xf>
    <xf numFmtId="172" fontId="13" fillId="0" borderId="0" xfId="3" applyNumberFormat="1" applyFont="1" applyFill="1" applyAlignment="1">
      <alignment horizontal="left" wrapText="1"/>
    </xf>
    <xf numFmtId="178" fontId="20" fillId="0" borderId="0" xfId="4" quotePrefix="1" applyNumberFormat="1" applyFont="1" applyFill="1" applyBorder="1" applyAlignment="1">
      <alignment horizontal="right" wrapText="1"/>
    </xf>
    <xf numFmtId="0" fontId="20" fillId="0" borderId="0" xfId="3" applyFont="1" applyFill="1" applyAlignment="1">
      <alignment horizontal="right" wrapText="1"/>
    </xf>
    <xf numFmtId="179" fontId="20" fillId="0" borderId="0" xfId="4" quotePrefix="1" applyNumberFormat="1" applyFont="1" applyFill="1" applyBorder="1" applyAlignment="1">
      <alignment horizontal="right" wrapText="1"/>
    </xf>
    <xf numFmtId="172" fontId="21" fillId="0" borderId="0" xfId="3" applyNumberFormat="1" applyFont="1" applyFill="1" applyAlignment="1">
      <alignment horizontal="left" vertical="top"/>
    </xf>
    <xf numFmtId="172" fontId="21" fillId="0" borderId="0" xfId="3" applyNumberFormat="1" applyFont="1" applyFill="1" applyAlignment="1">
      <alignment horizontal="left" vertical="top" wrapText="1"/>
    </xf>
    <xf numFmtId="180" fontId="12" fillId="0" borderId="0" xfId="3" applyNumberFormat="1" applyFont="1" applyBorder="1" applyAlignment="1">
      <alignment horizontal="center"/>
    </xf>
    <xf numFmtId="180" fontId="13" fillId="0" borderId="0" xfId="3" applyNumberFormat="1" applyFont="1" applyBorder="1"/>
    <xf numFmtId="180" fontId="13" fillId="0" borderId="0" xfId="4" applyNumberFormat="1" applyFont="1" applyBorder="1"/>
    <xf numFmtId="180" fontId="12" fillId="0" borderId="0" xfId="4" applyNumberFormat="1" applyFont="1" applyBorder="1"/>
    <xf numFmtId="180" fontId="12" fillId="0" borderId="0" xfId="3" applyNumberFormat="1" applyFont="1" applyBorder="1"/>
    <xf numFmtId="10" fontId="12" fillId="0" borderId="0" xfId="5" applyNumberFormat="1" applyFont="1" applyBorder="1" applyAlignment="1">
      <alignment horizontal="left"/>
    </xf>
    <xf numFmtId="10" fontId="13" fillId="0" borderId="0" xfId="5" applyNumberFormat="1" applyFont="1" applyBorder="1" applyAlignment="1">
      <alignment horizontal="right"/>
    </xf>
    <xf numFmtId="10" fontId="12" fillId="0" borderId="0" xfId="5" applyNumberFormat="1" applyFont="1" applyBorder="1" applyAlignment="1">
      <alignment horizontal="right"/>
    </xf>
    <xf numFmtId="10" fontId="12" fillId="0" borderId="0" xfId="5" applyNumberFormat="1" applyFont="1" applyAlignment="1">
      <alignment horizontal="right"/>
    </xf>
    <xf numFmtId="10" fontId="12" fillId="0" borderId="0" xfId="5" applyNumberFormat="1" applyFont="1" applyBorder="1"/>
    <xf numFmtId="10" fontId="13" fillId="0" borderId="0" xfId="5" applyNumberFormat="1" applyFont="1" applyBorder="1"/>
    <xf numFmtId="10" fontId="12" fillId="0" borderId="0" xfId="5" applyNumberFormat="1" applyFont="1"/>
    <xf numFmtId="180" fontId="12" fillId="0" borderId="0" xfId="3" quotePrefix="1" applyNumberFormat="1" applyFont="1" applyBorder="1"/>
    <xf numFmtId="181" fontId="13" fillId="0" borderId="0" xfId="4" applyNumberFormat="1" applyFont="1" applyBorder="1"/>
    <xf numFmtId="182" fontId="12" fillId="0" borderId="0" xfId="4" applyNumberFormat="1" applyFont="1" applyBorder="1" applyAlignment="1">
      <alignment horizontal="right"/>
    </xf>
    <xf numFmtId="170" fontId="12" fillId="0" borderId="0" xfId="5" applyNumberFormat="1" applyFont="1" applyBorder="1"/>
    <xf numFmtId="180" fontId="13" fillId="0" borderId="0" xfId="3" quotePrefix="1" applyNumberFormat="1" applyFont="1" applyBorder="1"/>
    <xf numFmtId="180" fontId="12" fillId="0" borderId="0" xfId="3" applyNumberFormat="1" applyFont="1"/>
    <xf numFmtId="164" fontId="12" fillId="0" borderId="0" xfId="5" applyNumberFormat="1" applyFont="1" applyBorder="1"/>
    <xf numFmtId="183" fontId="13" fillId="8" borderId="0" xfId="6" quotePrefix="1" applyFont="1" applyFill="1" applyBorder="1" applyAlignment="1">
      <alignment horizontal="right" wrapText="1"/>
    </xf>
    <xf numFmtId="184" fontId="12" fillId="0" borderId="0" xfId="5" applyNumberFormat="1" applyFont="1" applyBorder="1"/>
    <xf numFmtId="180" fontId="20" fillId="0" borderId="0" xfId="3" applyNumberFormat="1" applyFont="1" applyBorder="1"/>
    <xf numFmtId="180" fontId="20" fillId="0" borderId="2" xfId="3" applyNumberFormat="1" applyFont="1" applyBorder="1"/>
    <xf numFmtId="10" fontId="12" fillId="8" borderId="0" xfId="5" applyNumberFormat="1" applyFont="1" applyFill="1" applyBorder="1"/>
    <xf numFmtId="164" fontId="12" fillId="0" borderId="0" xfId="5" applyNumberFormat="1" applyFont="1" applyFill="1" applyBorder="1"/>
    <xf numFmtId="185" fontId="12" fillId="0" borderId="0" xfId="3" applyNumberFormat="1" applyFont="1" applyBorder="1"/>
    <xf numFmtId="185" fontId="12" fillId="0" borderId="0" xfId="3" applyNumberFormat="1" applyFont="1" applyFill="1" applyBorder="1"/>
    <xf numFmtId="185" fontId="12" fillId="0" borderId="2" xfId="3" applyNumberFormat="1" applyFont="1" applyBorder="1"/>
    <xf numFmtId="185" fontId="12" fillId="0" borderId="0" xfId="3" applyNumberFormat="1" applyFont="1"/>
    <xf numFmtId="9" fontId="12" fillId="0" borderId="0" xfId="5" applyFont="1" applyBorder="1"/>
    <xf numFmtId="185" fontId="13" fillId="0" borderId="0" xfId="3" applyNumberFormat="1" applyFont="1" applyBorder="1"/>
    <xf numFmtId="180" fontId="13" fillId="0" borderId="0" xfId="3" applyNumberFormat="1" applyFont="1" applyFill="1" applyBorder="1"/>
    <xf numFmtId="180" fontId="20" fillId="0" borderId="0" xfId="4" applyNumberFormat="1" applyFont="1" applyFill="1" applyBorder="1"/>
    <xf numFmtId="180" fontId="12" fillId="0" borderId="0" xfId="4" applyNumberFormat="1" applyFont="1" applyFill="1" applyBorder="1"/>
    <xf numFmtId="180" fontId="12" fillId="0" borderId="0" xfId="3" applyNumberFormat="1" applyFont="1" applyFill="1" applyBorder="1"/>
    <xf numFmtId="186" fontId="12" fillId="0" borderId="0" xfId="4" applyNumberFormat="1" applyFont="1" applyFill="1" applyBorder="1"/>
    <xf numFmtId="182" fontId="12" fillId="0" borderId="0" xfId="4" applyNumberFormat="1" applyFont="1" applyFill="1" applyBorder="1"/>
    <xf numFmtId="185" fontId="12" fillId="0" borderId="0" xfId="5" applyNumberFormat="1" applyFont="1" applyBorder="1"/>
    <xf numFmtId="185" fontId="13" fillId="0" borderId="2" xfId="3" applyNumberFormat="1" applyFont="1" applyBorder="1"/>
    <xf numFmtId="185" fontId="12" fillId="0" borderId="0" xfId="4" applyNumberFormat="1" applyFont="1" applyBorder="1"/>
    <xf numFmtId="180" fontId="21" fillId="0" borderId="0" xfId="3" applyNumberFormat="1" applyFont="1" applyBorder="1"/>
    <xf numFmtId="0" fontId="22" fillId="0" borderId="0" xfId="3" applyFont="1"/>
    <xf numFmtId="179" fontId="12" fillId="0" borderId="0" xfId="3" applyNumberFormat="1" applyFont="1" applyBorder="1"/>
    <xf numFmtId="179" fontId="12" fillId="0" borderId="2" xfId="3" applyNumberFormat="1" applyFont="1" applyBorder="1"/>
    <xf numFmtId="187" fontId="22" fillId="0" borderId="0" xfId="3" applyNumberFormat="1" applyFont="1"/>
    <xf numFmtId="187" fontId="12" fillId="0" borderId="0" xfId="3" applyNumberFormat="1" applyFont="1" applyBorder="1"/>
    <xf numFmtId="187" fontId="12" fillId="0" borderId="0" xfId="3" applyNumberFormat="1" applyFont="1"/>
    <xf numFmtId="187" fontId="23" fillId="0" borderId="0" xfId="3" applyNumberFormat="1" applyFont="1"/>
    <xf numFmtId="187" fontId="12" fillId="0" borderId="2" xfId="3" applyNumberFormat="1" applyFont="1" applyBorder="1"/>
    <xf numFmtId="180" fontId="12" fillId="0" borderId="0" xfId="4" applyNumberFormat="1" applyFont="1" applyBorder="1" applyAlignment="1">
      <alignment horizontal="right"/>
    </xf>
    <xf numFmtId="171" fontId="13" fillId="0" borderId="0" xfId="3" applyNumberFormat="1" applyFont="1"/>
    <xf numFmtId="0" fontId="12" fillId="0" borderId="0" xfId="0" applyFont="1"/>
    <xf numFmtId="0" fontId="12" fillId="0" borderId="0" xfId="0" applyFont="1" applyAlignment="1">
      <alignment horizontal="left" vertical="top" wrapText="1"/>
    </xf>
    <xf numFmtId="0" fontId="12" fillId="0" borderId="0" xfId="0" applyFont="1" applyAlignment="1">
      <alignment vertical="top"/>
    </xf>
    <xf numFmtId="0" fontId="13" fillId="0" borderId="0" xfId="0" applyFont="1"/>
    <xf numFmtId="0" fontId="26" fillId="0" borderId="0" xfId="3" applyFont="1" applyFill="1" applyBorder="1"/>
    <xf numFmtId="0" fontId="27" fillId="0" borderId="0" xfId="3" applyFont="1" applyFill="1" applyBorder="1"/>
    <xf numFmtId="0" fontId="24" fillId="4" borderId="0" xfId="0" applyFont="1" applyFill="1" applyBorder="1" applyAlignment="1">
      <alignment horizontal="right"/>
    </xf>
    <xf numFmtId="0" fontId="3" fillId="4" borderId="0" xfId="0" applyFont="1" applyFill="1" applyBorder="1" applyAlignment="1">
      <alignment horizontal="right" vertical="justify"/>
    </xf>
    <xf numFmtId="165" fontId="0" fillId="3" borderId="0" xfId="0" applyNumberFormat="1" applyFill="1" applyAlignment="1">
      <alignment horizontal="right"/>
    </xf>
    <xf numFmtId="0" fontId="0" fillId="3" borderId="0" xfId="0" applyFill="1" applyAlignment="1">
      <alignment horizontal="right"/>
    </xf>
    <xf numFmtId="165" fontId="4" fillId="5" borderId="1" xfId="0" applyNumberFormat="1" applyFont="1" applyFill="1" applyBorder="1" applyAlignment="1">
      <alignment horizontal="right"/>
    </xf>
    <xf numFmtId="0" fontId="3" fillId="4" borderId="0" xfId="0" applyFont="1" applyFill="1" applyBorder="1" applyAlignment="1">
      <alignment horizontal="right"/>
    </xf>
    <xf numFmtId="0" fontId="28" fillId="0" borderId="0" xfId="3" applyFont="1" applyFill="1" applyBorder="1"/>
    <xf numFmtId="188" fontId="28" fillId="0" borderId="0" xfId="3" applyNumberFormat="1" applyFont="1" applyFill="1" applyBorder="1"/>
    <xf numFmtId="171" fontId="28" fillId="0" borderId="0" xfId="3" applyNumberFormat="1" applyFont="1" applyFill="1" applyBorder="1"/>
    <xf numFmtId="0" fontId="2" fillId="0" borderId="0" xfId="3" applyFont="1"/>
    <xf numFmtId="171" fontId="2" fillId="0" borderId="0" xfId="3" applyNumberFormat="1" applyFont="1" applyBorder="1"/>
    <xf numFmtId="0" fontId="2" fillId="0" borderId="0" xfId="3" applyFont="1" applyBorder="1"/>
    <xf numFmtId="0" fontId="29" fillId="0" borderId="0" xfId="3" applyFont="1" applyFill="1" applyAlignment="1">
      <alignment horizontal="left" wrapText="1"/>
    </xf>
    <xf numFmtId="0" fontId="26" fillId="0" borderId="0" xfId="3" applyFont="1" applyFill="1"/>
    <xf numFmtId="171" fontId="26" fillId="0" borderId="0" xfId="3" applyNumberFormat="1" applyFont="1" applyFill="1" applyBorder="1"/>
    <xf numFmtId="180" fontId="2" fillId="0" borderId="0" xfId="3" applyNumberFormat="1" applyFont="1" applyFill="1" applyBorder="1"/>
    <xf numFmtId="171" fontId="2" fillId="0" borderId="0" xfId="3" applyNumberFormat="1" applyFont="1"/>
    <xf numFmtId="0" fontId="2" fillId="0" borderId="0" xfId="3" applyFont="1" applyFill="1"/>
    <xf numFmtId="0" fontId="2" fillId="0" borderId="0" xfId="3" applyFont="1" applyFill="1" applyAlignment="1">
      <alignment horizontal="right" wrapText="1"/>
    </xf>
    <xf numFmtId="177" fontId="2" fillId="0" borderId="0" xfId="3" applyNumberFormat="1" applyFont="1" applyFill="1" applyAlignment="1">
      <alignment horizontal="right" wrapText="1"/>
    </xf>
    <xf numFmtId="180" fontId="2" fillId="0" borderId="0" xfId="3" applyNumberFormat="1" applyFont="1" applyFill="1"/>
    <xf numFmtId="0" fontId="28" fillId="0" borderId="0" xfId="3" applyFont="1" applyFill="1" applyBorder="1" applyAlignment="1">
      <alignment horizontal="right"/>
    </xf>
    <xf numFmtId="0" fontId="2" fillId="0" borderId="0" xfId="3" applyFont="1" applyBorder="1" applyAlignment="1">
      <alignment horizontal="right"/>
    </xf>
    <xf numFmtId="0" fontId="26" fillId="0" borderId="0" xfId="3" applyFont="1" applyFill="1" applyBorder="1" applyAlignment="1">
      <alignment horizontal="right"/>
    </xf>
    <xf numFmtId="169" fontId="2" fillId="5" borderId="0" xfId="1" applyNumberFormat="1" applyFont="1" applyFill="1" applyBorder="1" applyAlignment="1">
      <alignment horizontal="right"/>
    </xf>
    <xf numFmtId="169" fontId="2" fillId="3" borderId="0" xfId="0" applyNumberFormat="1" applyFont="1" applyFill="1" applyBorder="1" applyAlignment="1">
      <alignment horizontal="right"/>
    </xf>
    <xf numFmtId="0" fontId="2" fillId="0" borderId="0" xfId="3" applyFont="1" applyAlignment="1">
      <alignment horizontal="right"/>
    </xf>
    <xf numFmtId="0" fontId="29" fillId="0" borderId="0" xfId="3" applyFont="1" applyFill="1" applyAlignment="1">
      <alignment horizontal="left"/>
    </xf>
    <xf numFmtId="0" fontId="2" fillId="5" borderId="0" xfId="0" applyFont="1" applyFill="1" applyBorder="1" applyAlignment="1">
      <alignment horizontal="center" vertical="center"/>
    </xf>
    <xf numFmtId="0" fontId="2" fillId="5" borderId="0" xfId="0" applyFont="1" applyFill="1" applyBorder="1" applyAlignment="1">
      <alignment vertical="center"/>
    </xf>
    <xf numFmtId="169" fontId="2" fillId="5" borderId="0" xfId="1" applyNumberFormat="1" applyFont="1" applyFill="1" applyBorder="1" applyAlignment="1">
      <alignment horizontal="right" vertical="center"/>
    </xf>
    <xf numFmtId="167" fontId="2" fillId="5" borderId="0" xfId="0" applyNumberFormat="1" applyFont="1" applyFill="1" applyBorder="1" applyAlignment="1">
      <alignment horizontal="right" vertical="center"/>
    </xf>
    <xf numFmtId="169" fontId="2" fillId="5" borderId="0" xfId="1" applyNumberFormat="1" applyFont="1" applyFill="1" applyBorder="1" applyAlignment="1">
      <alignment horizontal="left" vertical="center"/>
    </xf>
    <xf numFmtId="165" fontId="2" fillId="5" borderId="0" xfId="1" applyNumberFormat="1" applyFont="1" applyFill="1" applyBorder="1" applyAlignment="1">
      <alignment vertical="center"/>
    </xf>
    <xf numFmtId="169" fontId="2" fillId="5" borderId="0" xfId="1" applyNumberFormat="1" applyFont="1" applyFill="1" applyBorder="1" applyAlignment="1">
      <alignment vertical="center"/>
    </xf>
    <xf numFmtId="0" fontId="2" fillId="5" borderId="0" xfId="0" applyFont="1" applyFill="1" applyBorder="1" applyAlignment="1">
      <alignment horizontal="right" vertical="center"/>
    </xf>
    <xf numFmtId="165" fontId="2" fillId="5" borderId="0" xfId="1" applyNumberFormat="1" applyFont="1" applyFill="1" applyBorder="1" applyAlignment="1">
      <alignment horizontal="right" vertical="center"/>
    </xf>
    <xf numFmtId="9" fontId="2" fillId="5" borderId="0" xfId="2" applyFont="1" applyFill="1" applyBorder="1" applyAlignment="1">
      <alignment vertical="center"/>
    </xf>
    <xf numFmtId="164" fontId="2" fillId="5" borderId="0" xfId="2" applyNumberFormat="1" applyFont="1" applyFill="1" applyBorder="1" applyAlignment="1">
      <alignment vertical="center"/>
    </xf>
    <xf numFmtId="165" fontId="0" fillId="3" borderId="0" xfId="0" applyNumberFormat="1" applyFill="1" applyAlignment="1">
      <alignment horizontal="right" vertical="center"/>
    </xf>
    <xf numFmtId="0" fontId="0" fillId="3" borderId="0" xfId="0" applyFill="1" applyAlignment="1">
      <alignment horizontal="right" vertical="center"/>
    </xf>
    <xf numFmtId="180" fontId="2" fillId="0" borderId="0" xfId="3" applyNumberFormat="1" applyFont="1" applyFill="1" applyAlignment="1">
      <alignment vertical="center"/>
    </xf>
  </cellXfs>
  <cellStyles count="7">
    <cellStyle name="Comma" xfId="1" builtinId="3"/>
    <cellStyle name="Comma 2" xfId="4"/>
    <cellStyle name="Comma 3" xfId="6"/>
    <cellStyle name="Normal" xfId="0" builtinId="0"/>
    <cellStyle name="Normal 2" xfId="3"/>
    <cellStyle name="Percent" xfId="2" builtinId="5"/>
    <cellStyle name="Percent 2" xfId="5"/>
  </cellStyles>
  <dxfs count="8">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
      <fill>
        <patternFill patternType="mediumGray">
          <fgColor theme="4" tint="0.799951170384838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465138</xdr:colOff>
      <xdr:row>31</xdr:row>
      <xdr:rowOff>137160</xdr:rowOff>
    </xdr:to>
    <xdr:sp macro="" textlink="">
      <xdr:nvSpPr>
        <xdr:cNvPr id="2" name="Content Placeholder 1"/>
        <xdr:cNvSpPr>
          <a:spLocks noGrp="1"/>
        </xdr:cNvSpPr>
      </xdr:nvSpPr>
      <xdr:spPr bwMode="auto">
        <a:xfrm>
          <a:off x="609600" y="548640"/>
          <a:ext cx="8999538"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marL="273058" indent="-273058" algn="l" rtl="0" eaLnBrk="0" fontAlgn="base" hangingPunct="0">
            <a:spcBef>
              <a:spcPts val="599"/>
            </a:spcBef>
            <a:spcAft>
              <a:spcPts val="599"/>
            </a:spcAft>
            <a:buFont typeface="Arial" panose="020B0604020202020204" pitchFamily="34" charset="0"/>
            <a:buChar char="•"/>
            <a:defRPr sz="1600" kern="1200">
              <a:solidFill>
                <a:srgbClr val="000066"/>
              </a:solidFill>
              <a:latin typeface="Verdana" pitchFamily="34" charset="0"/>
              <a:ea typeface="+mn-ea"/>
              <a:cs typeface="+mn-cs"/>
            </a:defRPr>
          </a:lvl1pPr>
          <a:lvl2pPr marL="535004" indent="-261945" algn="l" rtl="0" eaLnBrk="0" fontAlgn="base" hangingPunct="0">
            <a:spcBef>
              <a:spcPts val="599"/>
            </a:spcBef>
            <a:spcAft>
              <a:spcPts val="599"/>
            </a:spcAft>
            <a:buFont typeface="Arial" pitchFamily="34" charset="0"/>
            <a:buChar char="•"/>
            <a:defRPr sz="1400" u="none" kern="1200">
              <a:solidFill>
                <a:srgbClr val="000066"/>
              </a:solidFill>
              <a:latin typeface="Verdana" pitchFamily="34" charset="0"/>
              <a:ea typeface="+mn-ea"/>
              <a:cs typeface="+mn-cs"/>
            </a:defRPr>
          </a:lvl2pPr>
          <a:lvl3pPr marL="808061" indent="-273058" algn="l" rtl="0" eaLnBrk="0" fontAlgn="base" hangingPunct="0">
            <a:spcBef>
              <a:spcPts val="599"/>
            </a:spcBef>
            <a:spcAft>
              <a:spcPts val="599"/>
            </a:spcAft>
            <a:buFont typeface="Arial" panose="020B0604020202020204" pitchFamily="34" charset="0"/>
            <a:buChar char="•"/>
            <a:defRPr sz="1400" kern="1200">
              <a:solidFill>
                <a:srgbClr val="000066"/>
              </a:solidFill>
              <a:latin typeface="Verdana" pitchFamily="34" charset="0"/>
              <a:ea typeface="+mn-ea"/>
              <a:cs typeface="+mn-cs"/>
            </a:defRPr>
          </a:lvl3pPr>
          <a:lvl4pPr marL="1079531" indent="-271471" algn="l" rtl="0" eaLnBrk="0" fontAlgn="base" hangingPunct="0">
            <a:spcBef>
              <a:spcPts val="599"/>
            </a:spcBef>
            <a:spcAft>
              <a:spcPts val="599"/>
            </a:spcAft>
            <a:buFont typeface="Arial" pitchFamily="34" charset="0"/>
            <a:buChar char="•"/>
            <a:defRPr sz="1400" kern="1200">
              <a:solidFill>
                <a:srgbClr val="000066"/>
              </a:solidFill>
              <a:latin typeface="Verdana" pitchFamily="34" charset="0"/>
              <a:ea typeface="+mn-ea"/>
              <a:cs typeface="+mn-cs"/>
            </a:defRPr>
          </a:lvl4pPr>
          <a:lvl5pPr marL="1343064" indent="-263534" algn="l" rtl="0" eaLnBrk="0" fontAlgn="base" hangingPunct="0">
            <a:spcBef>
              <a:spcPts val="599"/>
            </a:spcBef>
            <a:spcAft>
              <a:spcPts val="599"/>
            </a:spcAft>
            <a:buFont typeface="Arial" pitchFamily="34" charset="0"/>
            <a:buChar char="•"/>
            <a:defRPr sz="1400" kern="1200">
              <a:solidFill>
                <a:srgbClr val="000066"/>
              </a:solidFill>
              <a:latin typeface="Verdana" pitchFamily="34" charset="0"/>
              <a:ea typeface="+mn-ea"/>
              <a:cs typeface="+mn-cs"/>
            </a:defRPr>
          </a:lvl5pPr>
          <a:lvl6pPr marL="2514671"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86"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99"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314" indent="-228607" algn="l" defTabSz="914427"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GB" altLang="en-US" sz="750"/>
            <a:t>CONFIRMATION OF YOUR REPRESENTATION: IN ORDER TO BE ELIGIBLE TO VIEW THIS MATERIAL OR MAKE AN INVESTMENT DECISION WITH RESPECT TO THE SECURITIES, YOU </a:t>
          </a:r>
          <a:r>
            <a:rPr lang="en-GB" altLang="en-US" sz="750">
              <a:solidFill>
                <a:srgbClr val="002060"/>
              </a:solidFill>
            </a:rPr>
            <a:t>MUST: (I) NOT BE A U.S. PERSON (WITHIN THE MEANING OF REGULATION S UNDER THE U.S. SECURITIES ACT OF 1933, AS AMENDED (THE SECURITIES ACT)) AND BE OUTSIDE THE UNITED STATES; OR (II) BE A ‘‘QUALIFIED INSTITUTIONAL BUYER’’ (WITHIN THE MEANING OF RULE 144A UNDER THE SECURITIES ACT). YOU HAVE BEEN SENT THE ATTACHED MATERIAL ON THE BASIS THAT YOU HAVE CONFIRMED TO US THAT EITHER: (A)(I) YOU AND ANY CUSTOMERS YOU REPRESENT ARE NOT U.S. PERSONS AND LOCATED OUTSIDE THE UNITED STATES; AND (II) THE ELECTRONIC MAIL (OR E-MAIL) ADDRESS TO WHICH IT HAS BEEN DELIVERED IS NOT LOCATED IN THE UNITED STATES OF AMERICA, ITS TERRITORIES AND POSSESSIONS, ANY STATE OF THE UNITED STATES AND THE DISTRICT OF COLUMBIA; ‘‘POSSESSIONS’’ INCLUDE PUERTO RICO, THE U.S. VIRGIN ISLANDS, GUAM, AMERICAN SAMOA, WAKE ISLAND AND THE NORTHERN MARIANA ISLANDS; (B) YOU AND ANY CUSTOMERS YOU REPRESENT ARE ‘‘QUALIFIED INSTITUTIONAL BUYERS’’ OR (C) IF YOU AND ANY CUSTOMERS YOU REPRESENT ARE (I) LOCATED  IN THE UNITED KINGDOM, YOU AND EACH CUSTOMER YOU REPRESENT ARE  EACH A RELEVANT PERSON; (II) IN ANY MEMBER STATE OF THE EUROPEAN ECONOMIC AREA OTHER THAN THE UNITED KINGDOM, YOU AND EACH CUSTOMER YOU REPRESENT ARE EACH A QUALIFIED INVESTOR; OR (III) OUTSIDE THE UNITED KINGDOM OR EUROPEAN ECONOMIC AREA (AND THE ELECTRONIC MAIL ADDRESSES THAT YOU GAVE US AND TO WHICH THIS DOCUMENT HAS BEEN DELIVERED ARE NOT LOCATED IN SUCH JURISDICTIONS), YOU ARE A PERSON INTO WHOSE POSSESSION THIS DOCUMENT MAY LAWFULLY BE DELIVERED IN ACCORDANCE WITH THE LAWS OF THE JURISDICTION IN WHICH YOU ARE LOCATED, IN EACH CASE, THAT YOU CONSENT TO DELIVERY BY ELECTRONIC TRANSMISSION. </a:t>
          </a:r>
        </a:p>
        <a:p>
          <a:pPr marL="0" indent="0" algn="just">
            <a:buNone/>
          </a:pPr>
          <a:r>
            <a:rPr lang="en-GB" altLang="en-US" sz="750">
              <a:solidFill>
                <a:srgbClr val="002060"/>
              </a:solidFill>
            </a:rPr>
            <a:t>This document (the “Presentation”) has been prepared by IEF Capital Berlage Zuid B.V. </a:t>
          </a:r>
          <a:r>
            <a:rPr lang="en-GB" altLang="en-US" sz="750" i="1">
              <a:solidFill>
                <a:srgbClr val="002060"/>
              </a:solidFill>
            </a:rPr>
            <a:t>(the “Borrower”) </a:t>
          </a:r>
          <a:r>
            <a:rPr lang="en-GB" altLang="en-US" sz="750">
              <a:solidFill>
                <a:srgbClr val="002060"/>
              </a:solidFill>
            </a:rPr>
            <a:t>in order to describe certain elements of the proposed modification of the Leo-Mesdag securitisation transaction has been involved in the preparation of, or takes any responsibility for the contents of this Presentation. </a:t>
          </a:r>
        </a:p>
        <a:p>
          <a:pPr marL="0" indent="0" algn="just">
            <a:buNone/>
          </a:pPr>
          <a:r>
            <a:rPr lang="en-GB" altLang="en-US" sz="750">
              <a:solidFill>
                <a:srgbClr val="002060"/>
              </a:solidFill>
            </a:rPr>
            <a:t>For purposes of this notice, the Presentation shall include any document that follows oral briefings by the Borrower that accompanies it and any question-and-answer session that follows such briefings. The information in the Presentation is strictly proprietary and is being supplied to you solely for your information. It may not (in whole or in part) be reproduced, distributed or passed to a third party or used for any other purposes than stated above. The Presentation is informative in nature and does not constitute an offer of securities to the public as meant in any laws or rules implementing the Prospectus Directive (2003/71/EC), and amendments thereto (including Directive 2010/73/EU), nor do they constitute a solicitation to make such an offer. The information in this presentation does not constitute an offer of securities or a solicitation to make such an offer, and may not be used for such purposes, in the United States or any other country or jurisdiction in which such an offer or solicitation is unlawful, or in respect of any person in relation to whom the making of such an offer or solicitation is unlawful. Everyone using this Presentation should acquaint themselves with and adhere to the applicable local legislation. Any securities referred to in the information furnished in this Presentation have not been and will not be registered under the US Securities Act of 1933, and may be offered or sold in the United States only pursuant to an exemption from such registration. The information in the Presentation is, unless expressly stated otherwise, not intended to be available to any person in the United States or any "U.S. person" (as such terms are defined in Regulation S of the US Securities Act 1933). No reliance may be placed for any purposes whatsoever on the information, opinions, forecasts and assumptions contained in the Presentation or on its completeness, accuracy or fairness. No representation or warranty, express or implied, is given by or on behalf of the Borrower, or any of its directors, officers, affiliates or employees as to the accuracy or completeness of the information contained in this document and no liability is accepted for any loss, arising, directly or indirectly, from any use of such information. Nothing contained herein shall form the basis of any contract or commitment whatsoever. </a:t>
          </a:r>
        </a:p>
        <a:p>
          <a:pPr marL="0" indent="0" algn="just">
            <a:buNone/>
          </a:pPr>
          <a:r>
            <a:rPr lang="en-GB" altLang="en-US" sz="750">
              <a:solidFill>
                <a:srgbClr val="002060"/>
              </a:solidFill>
            </a:rPr>
            <a:t>the Borrower has included in this presentation, and from time to time may make certain statements in its public filings, press releases or other public statements that may constitute “forward-looking statements” within the meaning of the safe harbour provisions of the United States Private Securities Litigation Reform Act of 1995. This includes, without limitation, such statements that include the words ‘expect’, ‘estimate’, ‘project’, ‘anticipate’, ‘should’, ‘intend’, ‘plan’, ‘probability’, ‘risk’, ‘target’, ‘goal’, ‘objective’, ‘will’, ‘endeavour’, ‘outlook’, 'optimistic', 'prospects' and similar expressions or variations on such expressions. Such statements are subject to risks and uncertainties. These forward-looking statements are not historical facts and represent only the Borrower its beliefs regarding future events, many of which, by their nature, are inherently uncertain and beyond our control. Consequently, the actual results might deviate from the projections and such differences might be significant.</a:t>
          </a:r>
        </a:p>
        <a:p>
          <a:pPr marL="0" indent="0" algn="just">
            <a:buNone/>
          </a:pPr>
          <a:r>
            <a:rPr lang="en-GB" altLang="en-US" sz="750">
              <a:solidFill>
                <a:srgbClr val="002060"/>
              </a:solidFill>
            </a:rPr>
            <a:t>No reliance may be placed for any purposes whatsoever on the information, opinions, forecasts and assumptions contained in the Presentation or on its completeness, accuracy or fairness. No representation or warranty, express or implied, is given by or on behalf of the Borrower, or any of their directors, officers, affiliates or advisers as to the accuracy or completeness of the information contained in this document and no liability is accepted for any loss, arising, directly or indirectly, from any use of such information. Nothing contained herein shall form the basis of any contract or commitment whatsoever. The legal, tax and accounting implications of an investment in the securities must be verified by separate and qualified independent legal, tax and accounting counsel before proceeding with any such investment.</a:t>
          </a:r>
        </a:p>
        <a:p>
          <a:pPr marL="0" indent="0" algn="just">
            <a:buNone/>
          </a:pPr>
          <a:endParaRPr lang="en-GB" altLang="en-US" sz="75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HH_NT12\BHH%20Office\BHH%20Documenten\Consultancy\Actueel\Taxaties%20Portefeuille\IEF%20Capital\Portfolio%20Lipton%20CO080009\Algemeen\Standaard%20Winkels%20versie%202008%20IE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My%20Documents\CMBS%20Projects\Input%20Valid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oc91dl/Local%20Settings/Temporary%20Internet%20Files/OLK1F2/Swap%2011-22+40b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x01\I\Nieuwe%20map%20(4)\Mijn%20documenten\Rietveld\West\Documents%20and%20Settings\amgraaf\Local%20Settings\Temporary%20Internet%20Files\OLKA9\IEC%20voorbeeld%20amortisat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x01\@\BHH_NT12\BHH%20Office\BHH%20Documenten\Consultancy\Actueel\Taxaties%20Portefeuille\IEF%20Capital\Portfolio%20Lipton%20CO080009\Algemeen\Standaard%20Winkels%20versie%202008%20I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x01\I\Nieuwe%20map%20(4)\Mijn%20documenten\Rietveld\West\BU%20Corporate\Finance%20&amp;%20Tax\Fondsenrapportages\2008\Juni%202008\Stoplichtenrapportage%20Q2%202008%20Zeta.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heckpag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mgerritsen/Local%20Settings/Temporary%20Internet%20Files/OLK4C/Documents%20and%20Settings/ampoort/Bureaublad/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New%20Lombard%20CMB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ank%20files/Model-Eloc11-Current-Vah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ivedeal/CMBS/Multi-jurisdictional/Europa%20Three/Datatape/Batch%200/L002%20-%20rcvd%209%20May%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x01\data\Project%20Grand%20cru\Tenant%20Overview%20DEZE%20PAKKEN%20LOKERSE\Lipton%20ULTIMATE%20CHECK\rodamco%20check\huurverschilll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orwaarden"/>
      <sheetName val="I"/>
      <sheetName val="Info"/>
      <sheetName val="Evaluatie"/>
      <sheetName val="Huurwaarde"/>
      <sheetName val="Technisch"/>
      <sheetName val="Lasten"/>
      <sheetName val="Grond"/>
      <sheetName val="Referenties"/>
      <sheetName val="Taxatie"/>
      <sheetName val="Valuation"/>
      <sheetName val="Algemeen"/>
      <sheetName val="SWOT"/>
      <sheetName val="Notitie R"/>
      <sheetName val="Notitie T"/>
      <sheetName val="Foto"/>
      <sheetName val="Eindwaarde"/>
      <sheetName val="HypW"/>
      <sheetName val="SRL"/>
      <sheetName val="Data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Rules"/>
      <sheetName val="Loans"/>
      <sheetName val="Leases"/>
      <sheetName val="Tenants"/>
      <sheetName val="Properties"/>
      <sheetName val="Amortisation"/>
      <sheetName val="DataTyp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Holidays"/>
      <sheetName val="RawImport"/>
      <sheetName val="ImportData"/>
      <sheetName val="DiscFactors"/>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voorbeeld amortisatie"/>
      <sheetName val="bepaling vrijval"/>
      <sheetName val="Leo dec 2007"/>
      <sheetName val="rentecurve"/>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orwaarden"/>
      <sheetName val="I"/>
      <sheetName val="Info"/>
      <sheetName val="Evaluatie"/>
      <sheetName val="Huurwaarde"/>
      <sheetName val="Technisch"/>
      <sheetName val="Lasten"/>
      <sheetName val="Grond"/>
      <sheetName val="Referenties"/>
      <sheetName val="Taxatie"/>
      <sheetName val="Valuation"/>
      <sheetName val="Algemeen"/>
      <sheetName val="SWOT"/>
      <sheetName val="Notitie R"/>
      <sheetName val="Notitie T"/>
      <sheetName val="Foto"/>
      <sheetName val="Eindwaarde"/>
      <sheetName val="HypW"/>
      <sheetName val="SRL"/>
      <sheetName val="Data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Stoplichten Totaaloverzicht"/>
      <sheetName val="Fonds P&amp;L "/>
      <sheetName val="Stoplichten vullen"/>
      <sheetName val="Fonds BS"/>
      <sheetName val="Data p maand"/>
      <sheetName val="Data p kwartaal"/>
      <sheetName val="Data p jaar"/>
      <sheetName val="Data totaal"/>
      <sheetName val="Vaste fonds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pag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Hema"/>
      <sheetName val="V&amp;D"/>
      <sheetName val="Bijenkorf"/>
      <sheetName val="weighted"/>
      <sheetName val="Parking"/>
      <sheetName val="subtenants"/>
      <sheetName val="Value going concern"/>
      <sheetName val="Value &quot;wederverhuur&quot;"/>
      <sheetName val="Fiscal value"/>
      <sheetName val="cash flow"/>
      <sheetName val="grafieken"/>
      <sheetName val="redevelopments"/>
      <sheetName val="groundrent"/>
      <sheetName val="Aantekeningen"/>
      <sheetName val="Algemene vragen"/>
      <sheetName val="vragen objecten"/>
      <sheetName val="bereke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Data"/>
      <sheetName val="Amortisation"/>
      <sheetName val="Interest"/>
      <sheetName val="Properties"/>
      <sheetName val="Tenant Rating"/>
      <sheetName val="Lease Anal"/>
      <sheetName val="Fitch Summary Page"/>
      <sheetName val="Summary Page"/>
      <sheetName val="M_A"/>
      <sheetName val="C_A"/>
      <sheetName val="Lease Analysis Summary"/>
      <sheetName val="monte carlo output"/>
      <sheetName val="Tenant Default Stats"/>
      <sheetName val="Loan Analysis"/>
      <sheetName val="Lease CF Output"/>
      <sheetName val="Data_Rules"/>
      <sheetName val="DataTypes"/>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Notes"/>
      <sheetName val="Assumptions_new"/>
      <sheetName val="Assumptions"/>
      <sheetName val="Tenant Rating"/>
      <sheetName val="Loan Data"/>
      <sheetName val="Graph Page"/>
      <sheetName val="Properties"/>
      <sheetName val="Lease Anal"/>
      <sheetName val="monte carlo output"/>
      <sheetName val="BB"/>
      <sheetName val="BBB"/>
      <sheetName val="A"/>
      <sheetName val="AA"/>
      <sheetName val="AAA"/>
      <sheetName val="OldAAA"/>
      <sheetName val="OldAA"/>
      <sheetName val="Old A"/>
      <sheetName val="OldBBB"/>
      <sheetName val="OldBB"/>
      <sheetName val="B"/>
      <sheetName val="Check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sation"/>
      <sheetName val="Tranche 1"/>
      <sheetName val="Property 1"/>
      <sheetName val="Prop 1 Tenant"/>
      <sheetName val="Validation Lists"/>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uuraanpassingen check"/>
      <sheetName val="Huuraanpassingen"/>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0"/>
  <sheetViews>
    <sheetView topLeftCell="A35" workbookViewId="0">
      <selection activeCell="B43" sqref="B43"/>
    </sheetView>
  </sheetViews>
  <sheetFormatPr defaultRowHeight="12.6" x14ac:dyDescent="0.2"/>
  <cols>
    <col min="1" max="16384" width="8.88671875" style="122"/>
  </cols>
  <sheetData>
    <row r="2" spans="2:2" x14ac:dyDescent="0.2">
      <c r="B2" s="122" t="s">
        <v>73</v>
      </c>
    </row>
    <row r="38" spans="2:16" x14ac:dyDescent="0.2">
      <c r="B38" s="125" t="s">
        <v>173</v>
      </c>
    </row>
    <row r="40" spans="2:16" s="124" customFormat="1" ht="144.6" customHeight="1" x14ac:dyDescent="0.3">
      <c r="B40" s="123" t="s">
        <v>180</v>
      </c>
      <c r="C40" s="123"/>
      <c r="D40" s="123"/>
      <c r="E40" s="123"/>
      <c r="F40" s="123"/>
      <c r="G40" s="123"/>
      <c r="H40" s="123"/>
      <c r="I40" s="123"/>
      <c r="J40" s="123"/>
      <c r="K40" s="123"/>
      <c r="L40" s="123"/>
      <c r="M40" s="123"/>
      <c r="N40" s="123"/>
      <c r="O40" s="123"/>
      <c r="P40" s="123"/>
    </row>
  </sheetData>
  <mergeCells count="1">
    <mergeCell ref="B40:P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P194"/>
  <sheetViews>
    <sheetView zoomScaleNormal="100" zoomScalePageLayoutView="54" workbookViewId="0">
      <pane ySplit="2292" topLeftCell="A8" activePane="bottomLeft"/>
      <selection pane="bottomLeft" activeCell="F13" sqref="F13"/>
    </sheetView>
  </sheetViews>
  <sheetFormatPr defaultColWidth="9.109375" defaultRowHeight="12.6" x14ac:dyDescent="0.2"/>
  <cols>
    <col min="1" max="1" width="5.44140625" style="137" customWidth="1"/>
    <col min="2" max="2" width="25.77734375" style="137" customWidth="1"/>
    <col min="3" max="3" width="20.5546875" style="144" bestFit="1" customWidth="1"/>
    <col min="4" max="4" width="17.77734375" style="154" customWidth="1"/>
    <col min="5" max="8" width="17.77734375" style="137" customWidth="1"/>
    <col min="9" max="9" width="18.88671875" style="137" customWidth="1"/>
    <col min="10" max="10" width="18.5546875" style="137" customWidth="1"/>
    <col min="11" max="11" width="11.77734375" style="137" customWidth="1"/>
    <col min="12" max="12" width="18.109375" style="137" customWidth="1"/>
    <col min="13" max="13" width="12.109375" style="137" customWidth="1"/>
    <col min="14" max="14" width="11.88671875" style="137" customWidth="1"/>
    <col min="15" max="15" width="17" style="137" customWidth="1"/>
    <col min="16" max="16" width="9.5546875" style="137" customWidth="1"/>
    <col min="17" max="16384" width="9.109375" style="145"/>
  </cols>
  <sheetData>
    <row r="1" spans="1:16" s="134" customFormat="1" ht="29.4" x14ac:dyDescent="0.45">
      <c r="A1" s="134" t="s">
        <v>177</v>
      </c>
      <c r="B1" s="135"/>
      <c r="C1" s="136"/>
      <c r="D1" s="149"/>
    </row>
    <row r="2" spans="1:16" x14ac:dyDescent="0.2">
      <c r="C2" s="138"/>
      <c r="D2" s="150"/>
      <c r="E2" s="139"/>
      <c r="F2" s="139"/>
      <c r="G2" s="139"/>
      <c r="H2" s="139"/>
      <c r="I2" s="139"/>
      <c r="J2" s="139"/>
      <c r="K2" s="139"/>
      <c r="L2" s="139"/>
    </row>
    <row r="3" spans="1:16" s="141" customFormat="1" ht="10.199999999999999" x14ac:dyDescent="0.2">
      <c r="A3" s="155" t="s">
        <v>178</v>
      </c>
      <c r="C3" s="142"/>
      <c r="D3" s="151"/>
      <c r="E3" s="126"/>
      <c r="F3" s="126"/>
      <c r="G3" s="126"/>
      <c r="H3" s="126"/>
      <c r="I3" s="126"/>
      <c r="J3" s="126"/>
      <c r="K3" s="126"/>
      <c r="L3" s="126"/>
    </row>
    <row r="4" spans="1:16" s="141" customFormat="1" ht="10.199999999999999" x14ac:dyDescent="0.2">
      <c r="A4" s="140"/>
      <c r="C4" s="142"/>
      <c r="D4" s="151"/>
      <c r="E4" s="126"/>
      <c r="F4" s="126"/>
      <c r="G4" s="126"/>
      <c r="H4" s="126"/>
      <c r="I4" s="126"/>
      <c r="J4" s="126"/>
      <c r="K4" s="126"/>
      <c r="L4" s="126"/>
    </row>
    <row r="5" spans="1:16" s="146" customFormat="1" x14ac:dyDescent="0.2">
      <c r="A5" s="2" t="s">
        <v>69</v>
      </c>
      <c r="B5" s="3"/>
      <c r="C5" s="3"/>
      <c r="D5" s="25"/>
      <c r="E5" s="3"/>
      <c r="F5" s="17"/>
      <c r="G5" s="17"/>
      <c r="H5" s="1"/>
      <c r="I5" s="3"/>
      <c r="J5" s="3"/>
      <c r="K5" s="25"/>
      <c r="L5" s="25"/>
      <c r="M5" s="3"/>
      <c r="N5" s="3"/>
      <c r="O5" s="128"/>
      <c r="P5" s="128"/>
    </row>
    <row r="6" spans="1:16" s="147" customFormat="1" ht="25.2" x14ac:dyDescent="0.2">
      <c r="A6" s="4"/>
      <c r="B6" s="5" t="s">
        <v>0</v>
      </c>
      <c r="C6" s="5" t="s">
        <v>1</v>
      </c>
      <c r="D6" s="20" t="s">
        <v>68</v>
      </c>
      <c r="E6" s="21" t="s">
        <v>63</v>
      </c>
      <c r="F6" s="21" t="s">
        <v>2</v>
      </c>
      <c r="G6" s="21" t="s">
        <v>71</v>
      </c>
      <c r="H6" s="29" t="s">
        <v>3</v>
      </c>
      <c r="I6" s="21" t="s">
        <v>70</v>
      </c>
      <c r="J6" s="21" t="s">
        <v>174</v>
      </c>
      <c r="K6" s="24" t="s">
        <v>65</v>
      </c>
      <c r="L6" s="24" t="s">
        <v>64</v>
      </c>
      <c r="M6" s="21" t="s">
        <v>4</v>
      </c>
      <c r="N6" s="21" t="s">
        <v>72</v>
      </c>
      <c r="O6" s="129" t="s">
        <v>175</v>
      </c>
      <c r="P6" s="129" t="s">
        <v>176</v>
      </c>
    </row>
    <row r="7" spans="1:16" s="143" customFormat="1" ht="14.4" x14ac:dyDescent="0.3">
      <c r="A7" s="6">
        <v>1</v>
      </c>
      <c r="B7" s="7" t="s">
        <v>5</v>
      </c>
      <c r="C7" s="8" t="s">
        <v>6</v>
      </c>
      <c r="D7" s="152">
        <v>2997</v>
      </c>
      <c r="E7" s="12">
        <v>47057</v>
      </c>
      <c r="F7" s="22">
        <v>129873</v>
      </c>
      <c r="G7" s="9">
        <v>519492</v>
      </c>
      <c r="H7" s="9">
        <v>438060</v>
      </c>
      <c r="I7" s="23">
        <v>9000000</v>
      </c>
      <c r="J7" s="23">
        <v>8380000</v>
      </c>
      <c r="K7" s="26" t="s">
        <v>7</v>
      </c>
      <c r="L7" s="28">
        <v>6662825</v>
      </c>
      <c r="M7" s="10">
        <v>0.74031388888888894</v>
      </c>
      <c r="N7" s="11">
        <v>5.7721333333333333E-2</v>
      </c>
      <c r="O7" s="130">
        <v>515549</v>
      </c>
      <c r="P7" s="131">
        <v>2013</v>
      </c>
    </row>
    <row r="8" spans="1:16" s="143" customFormat="1" ht="14.4" x14ac:dyDescent="0.3">
      <c r="A8" s="6">
        <v>2</v>
      </c>
      <c r="B8" s="7" t="s">
        <v>5</v>
      </c>
      <c r="C8" s="8" t="s">
        <v>8</v>
      </c>
      <c r="D8" s="152">
        <v>2716</v>
      </c>
      <c r="E8" s="12">
        <v>44865</v>
      </c>
      <c r="F8" s="22">
        <v>62946.75</v>
      </c>
      <c r="G8" s="9">
        <v>251787</v>
      </c>
      <c r="H8" s="9">
        <v>234553</v>
      </c>
      <c r="I8" s="23">
        <v>3584426</v>
      </c>
      <c r="J8" s="23">
        <v>2820000</v>
      </c>
      <c r="K8" s="26" t="s">
        <v>9</v>
      </c>
      <c r="L8" s="28">
        <v>2787665</v>
      </c>
      <c r="M8" s="10">
        <v>0.77771587417343813</v>
      </c>
      <c r="N8" s="11">
        <v>7.0244719796140304E-2</v>
      </c>
      <c r="O8" s="130">
        <v>198032</v>
      </c>
      <c r="P8" s="131">
        <v>2011</v>
      </c>
    </row>
    <row r="9" spans="1:16" s="143" customFormat="1" ht="14.4" x14ac:dyDescent="0.3">
      <c r="A9" s="6">
        <v>3</v>
      </c>
      <c r="B9" s="7" t="s">
        <v>5</v>
      </c>
      <c r="C9" s="8" t="s">
        <v>10</v>
      </c>
      <c r="D9" s="152">
        <v>2675</v>
      </c>
      <c r="E9" s="12">
        <v>45230</v>
      </c>
      <c r="F9" s="22">
        <v>133305.75</v>
      </c>
      <c r="G9" s="9">
        <v>533223</v>
      </c>
      <c r="H9" s="9">
        <v>523819</v>
      </c>
      <c r="I9" s="23">
        <v>8516597</v>
      </c>
      <c r="J9" s="23">
        <v>6750000</v>
      </c>
      <c r="K9" s="26" t="s">
        <v>9</v>
      </c>
      <c r="L9" s="28">
        <v>6731751</v>
      </c>
      <c r="M9" s="10">
        <v>0.79042732678322103</v>
      </c>
      <c r="N9" s="11">
        <v>6.2609866358593697E-2</v>
      </c>
      <c r="O9" s="130">
        <v>531596</v>
      </c>
      <c r="P9" s="131">
        <v>2012</v>
      </c>
    </row>
    <row r="10" spans="1:16" s="143" customFormat="1" ht="14.4" x14ac:dyDescent="0.3">
      <c r="A10" s="6">
        <v>4</v>
      </c>
      <c r="B10" s="7" t="s">
        <v>5</v>
      </c>
      <c r="C10" s="8" t="s">
        <v>11</v>
      </c>
      <c r="D10" s="152">
        <v>3756</v>
      </c>
      <c r="E10" s="12">
        <v>45961</v>
      </c>
      <c r="F10" s="22">
        <v>186722.25</v>
      </c>
      <c r="G10" s="9">
        <v>746889</v>
      </c>
      <c r="H10" s="9">
        <v>727190</v>
      </c>
      <c r="I10" s="23">
        <v>14120000</v>
      </c>
      <c r="J10" s="23">
        <v>14720000</v>
      </c>
      <c r="K10" s="26" t="s">
        <v>7</v>
      </c>
      <c r="L10" s="28">
        <v>10315892</v>
      </c>
      <c r="M10" s="10">
        <v>0.73058725212464593</v>
      </c>
      <c r="N10" s="11">
        <v>5.2895821529745042E-2</v>
      </c>
      <c r="O10" s="130">
        <v>747538</v>
      </c>
      <c r="P10" s="131">
        <v>2013</v>
      </c>
    </row>
    <row r="11" spans="1:16" s="143" customFormat="1" ht="14.4" x14ac:dyDescent="0.3">
      <c r="A11" s="6">
        <v>5</v>
      </c>
      <c r="B11" s="7" t="s">
        <v>5</v>
      </c>
      <c r="C11" s="8" t="s">
        <v>12</v>
      </c>
      <c r="D11" s="152">
        <v>3559</v>
      </c>
      <c r="E11" s="12">
        <v>47787</v>
      </c>
      <c r="F11" s="22">
        <v>285155.5</v>
      </c>
      <c r="G11" s="9">
        <v>1140622</v>
      </c>
      <c r="H11" s="9">
        <v>1105329</v>
      </c>
      <c r="I11" s="23">
        <v>22201671</v>
      </c>
      <c r="J11" s="23">
        <v>18505000</v>
      </c>
      <c r="K11" s="26" t="s">
        <v>7</v>
      </c>
      <c r="L11" s="28">
        <v>15577226</v>
      </c>
      <c r="M11" s="10">
        <v>0.70162403541607299</v>
      </c>
      <c r="N11" s="11">
        <v>5.1375502321424363E-2</v>
      </c>
      <c r="O11" s="130">
        <v>1139177</v>
      </c>
      <c r="P11" s="131">
        <v>2011</v>
      </c>
    </row>
    <row r="12" spans="1:16" s="143" customFormat="1" ht="14.4" x14ac:dyDescent="0.3">
      <c r="A12" s="6">
        <v>6</v>
      </c>
      <c r="B12" s="7" t="s">
        <v>5</v>
      </c>
      <c r="C12" s="8" t="s">
        <v>13</v>
      </c>
      <c r="D12" s="152">
        <v>2807</v>
      </c>
      <c r="E12" s="12">
        <v>45230</v>
      </c>
      <c r="F12" s="22">
        <v>165318.25</v>
      </c>
      <c r="G12" s="9">
        <v>661273</v>
      </c>
      <c r="H12" s="9">
        <v>637904</v>
      </c>
      <c r="I12" s="23">
        <v>8728570</v>
      </c>
      <c r="J12" s="23">
        <v>5900000</v>
      </c>
      <c r="K12" s="26" t="s">
        <v>7</v>
      </c>
      <c r="L12" s="28">
        <v>5452795</v>
      </c>
      <c r="M12" s="10">
        <v>0.62470656705508465</v>
      </c>
      <c r="N12" s="11">
        <v>7.575960323397761E-2</v>
      </c>
      <c r="O12" s="130">
        <v>672827</v>
      </c>
      <c r="P12" s="131">
        <v>2012</v>
      </c>
    </row>
    <row r="13" spans="1:16" s="143" customFormat="1" ht="14.4" x14ac:dyDescent="0.3">
      <c r="A13" s="6">
        <v>7</v>
      </c>
      <c r="B13" s="7" t="s">
        <v>5</v>
      </c>
      <c r="C13" s="8" t="s">
        <v>13</v>
      </c>
      <c r="D13" s="152">
        <v>1496</v>
      </c>
      <c r="E13" s="12">
        <v>45596</v>
      </c>
      <c r="F13" s="22">
        <v>84934.75</v>
      </c>
      <c r="G13" s="9">
        <v>339739</v>
      </c>
      <c r="H13" s="9">
        <v>335289</v>
      </c>
      <c r="I13" s="23">
        <v>5190000</v>
      </c>
      <c r="J13" s="23">
        <v>4740000</v>
      </c>
      <c r="K13" s="26" t="s">
        <v>7</v>
      </c>
      <c r="L13" s="28">
        <v>3369705</v>
      </c>
      <c r="M13" s="10">
        <v>0.64926878612716765</v>
      </c>
      <c r="N13" s="11">
        <v>6.5460308285163776E-2</v>
      </c>
      <c r="O13" s="130">
        <v>316449</v>
      </c>
      <c r="P13" s="131">
        <v>2013</v>
      </c>
    </row>
    <row r="14" spans="1:16" s="143" customFormat="1" ht="14.4" x14ac:dyDescent="0.3">
      <c r="A14" s="6">
        <v>8</v>
      </c>
      <c r="B14" s="7" t="s">
        <v>5</v>
      </c>
      <c r="C14" s="8" t="s">
        <v>13</v>
      </c>
      <c r="D14" s="152">
        <v>2601</v>
      </c>
      <c r="E14" s="12">
        <v>46326</v>
      </c>
      <c r="F14" s="22">
        <v>105400</v>
      </c>
      <c r="G14" s="9">
        <v>421600</v>
      </c>
      <c r="H14" s="9">
        <v>404439</v>
      </c>
      <c r="I14" s="23">
        <v>7010501</v>
      </c>
      <c r="J14" s="23">
        <v>4915000</v>
      </c>
      <c r="K14" s="26" t="s">
        <v>14</v>
      </c>
      <c r="L14" s="28">
        <v>4265740</v>
      </c>
      <c r="M14" s="10">
        <v>0.60847862371034533</v>
      </c>
      <c r="N14" s="11">
        <v>6.013835530442118E-2</v>
      </c>
      <c r="O14" s="130">
        <v>400409</v>
      </c>
      <c r="P14" s="131">
        <v>2011</v>
      </c>
    </row>
    <row r="15" spans="1:16" s="143" customFormat="1" ht="14.4" x14ac:dyDescent="0.3">
      <c r="A15" s="6">
        <v>9</v>
      </c>
      <c r="B15" s="7" t="s">
        <v>5</v>
      </c>
      <c r="C15" s="8" t="s">
        <v>13</v>
      </c>
      <c r="D15" s="152">
        <v>1957</v>
      </c>
      <c r="E15" s="12">
        <v>45961</v>
      </c>
      <c r="F15" s="22">
        <v>106495.5</v>
      </c>
      <c r="G15" s="9">
        <v>425982</v>
      </c>
      <c r="H15" s="9">
        <v>385444</v>
      </c>
      <c r="I15" s="23">
        <v>6834891</v>
      </c>
      <c r="J15" s="23">
        <v>5000000</v>
      </c>
      <c r="K15" s="26" t="s">
        <v>9</v>
      </c>
      <c r="L15" s="28">
        <v>4977973</v>
      </c>
      <c r="M15" s="10">
        <v>0.72831783272037554</v>
      </c>
      <c r="N15" s="11">
        <v>6.2324622294634986E-2</v>
      </c>
      <c r="O15" s="130">
        <v>423589</v>
      </c>
      <c r="P15" s="131">
        <v>2012</v>
      </c>
    </row>
    <row r="16" spans="1:16" s="143" customFormat="1" ht="14.4" x14ac:dyDescent="0.3">
      <c r="A16" s="6">
        <v>10</v>
      </c>
      <c r="B16" s="7" t="s">
        <v>5</v>
      </c>
      <c r="C16" s="8" t="s">
        <v>13</v>
      </c>
      <c r="D16" s="152">
        <v>3845</v>
      </c>
      <c r="E16" s="12">
        <v>46691</v>
      </c>
      <c r="F16" s="22">
        <v>214806.5</v>
      </c>
      <c r="G16" s="9">
        <v>859226</v>
      </c>
      <c r="H16" s="9">
        <v>811159</v>
      </c>
      <c r="I16" s="23">
        <v>19915381</v>
      </c>
      <c r="J16" s="23">
        <v>18480000</v>
      </c>
      <c r="K16" s="26" t="s">
        <v>9</v>
      </c>
      <c r="L16" s="28">
        <v>11686749</v>
      </c>
      <c r="M16" s="10">
        <v>0.58682025716706099</v>
      </c>
      <c r="N16" s="11">
        <v>4.3143839427425466E-2</v>
      </c>
      <c r="O16" s="130">
        <v>1179692</v>
      </c>
      <c r="P16" s="131">
        <v>2011</v>
      </c>
    </row>
    <row r="17" spans="1:16" s="143" customFormat="1" ht="14.4" x14ac:dyDescent="0.3">
      <c r="A17" s="6">
        <v>11</v>
      </c>
      <c r="B17" s="7" t="s">
        <v>5</v>
      </c>
      <c r="C17" s="8" t="s">
        <v>13</v>
      </c>
      <c r="D17" s="152">
        <v>1419</v>
      </c>
      <c r="E17" s="12">
        <v>44500</v>
      </c>
      <c r="F17" s="22">
        <v>67362.75</v>
      </c>
      <c r="G17" s="9">
        <v>269451</v>
      </c>
      <c r="H17" s="9">
        <v>242406</v>
      </c>
      <c r="I17" s="23">
        <v>4951522</v>
      </c>
      <c r="J17" s="23">
        <v>2970000</v>
      </c>
      <c r="K17" s="26" t="s">
        <v>9</v>
      </c>
      <c r="L17" s="28">
        <v>2718739</v>
      </c>
      <c r="M17" s="10">
        <v>0.54907137643738635</v>
      </c>
      <c r="N17" s="11">
        <v>5.4417813351127192E-2</v>
      </c>
      <c r="O17" s="130">
        <v>217329</v>
      </c>
      <c r="P17" s="131">
        <v>2011</v>
      </c>
    </row>
    <row r="18" spans="1:16" s="143" customFormat="1" ht="14.4" x14ac:dyDescent="0.3">
      <c r="A18" s="6">
        <v>12</v>
      </c>
      <c r="B18" s="7" t="s">
        <v>5</v>
      </c>
      <c r="C18" s="8" t="s">
        <v>15</v>
      </c>
      <c r="D18" s="152">
        <v>4719</v>
      </c>
      <c r="E18" s="12">
        <v>46326</v>
      </c>
      <c r="F18" s="22">
        <v>183111.75</v>
      </c>
      <c r="G18" s="9">
        <v>732447</v>
      </c>
      <c r="H18" s="9">
        <v>704106</v>
      </c>
      <c r="I18" s="23">
        <v>13233496</v>
      </c>
      <c r="J18" s="23">
        <v>10800000</v>
      </c>
      <c r="K18" s="26" t="s">
        <v>7</v>
      </c>
      <c r="L18" s="28">
        <v>10216332</v>
      </c>
      <c r="M18" s="10">
        <v>0.77200552295478075</v>
      </c>
      <c r="N18" s="11">
        <v>5.5347959450775516E-2</v>
      </c>
      <c r="O18" s="130">
        <v>767351</v>
      </c>
      <c r="P18" s="131">
        <v>2012</v>
      </c>
    </row>
    <row r="19" spans="1:16" s="143" customFormat="1" ht="14.4" x14ac:dyDescent="0.3">
      <c r="A19" s="6">
        <v>13</v>
      </c>
      <c r="B19" s="7" t="s">
        <v>5</v>
      </c>
      <c r="C19" s="8" t="s">
        <v>16</v>
      </c>
      <c r="D19" s="152">
        <v>2676</v>
      </c>
      <c r="E19" s="12">
        <v>44865</v>
      </c>
      <c r="F19" s="22">
        <v>141517</v>
      </c>
      <c r="G19" s="9">
        <v>566068</v>
      </c>
      <c r="H19" s="9">
        <v>528795</v>
      </c>
      <c r="I19" s="23">
        <v>10140000</v>
      </c>
      <c r="J19" s="23">
        <v>11000000</v>
      </c>
      <c r="K19" s="26" t="s">
        <v>9</v>
      </c>
      <c r="L19" s="28">
        <v>7980074</v>
      </c>
      <c r="M19" s="10">
        <v>0.78698954635108487</v>
      </c>
      <c r="N19" s="11">
        <v>5.5825246548323472E-2</v>
      </c>
      <c r="O19" s="130">
        <v>552146</v>
      </c>
      <c r="P19" s="131">
        <v>2013</v>
      </c>
    </row>
    <row r="20" spans="1:16" s="143" customFormat="1" ht="14.4" x14ac:dyDescent="0.3">
      <c r="A20" s="6">
        <v>14</v>
      </c>
      <c r="B20" s="7" t="s">
        <v>5</v>
      </c>
      <c r="C20" s="8" t="s">
        <v>17</v>
      </c>
      <c r="D20" s="152">
        <v>3066</v>
      </c>
      <c r="E20" s="12">
        <v>46691</v>
      </c>
      <c r="F20" s="22">
        <v>141442.25</v>
      </c>
      <c r="G20" s="9">
        <v>565769</v>
      </c>
      <c r="H20" s="9">
        <v>546009</v>
      </c>
      <c r="I20" s="23">
        <v>10118028</v>
      </c>
      <c r="J20" s="23">
        <v>8410000</v>
      </c>
      <c r="K20" s="26" t="s">
        <v>9</v>
      </c>
      <c r="L20" s="28">
        <v>7505251</v>
      </c>
      <c r="M20" s="10">
        <v>0.74177013544536541</v>
      </c>
      <c r="N20" s="11">
        <v>5.5916923732569235E-2</v>
      </c>
      <c r="O20" s="130">
        <v>556698</v>
      </c>
      <c r="P20" s="131">
        <v>2011</v>
      </c>
    </row>
    <row r="21" spans="1:16" s="143" customFormat="1" ht="14.4" x14ac:dyDescent="0.3">
      <c r="A21" s="6">
        <v>15</v>
      </c>
      <c r="B21" s="7" t="s">
        <v>5</v>
      </c>
      <c r="C21" s="8" t="s">
        <v>18</v>
      </c>
      <c r="D21" s="152">
        <v>5705</v>
      </c>
      <c r="E21" s="12">
        <v>42308</v>
      </c>
      <c r="F21" s="22">
        <v>90489.75</v>
      </c>
      <c r="G21" s="9">
        <v>361959</v>
      </c>
      <c r="H21" s="9">
        <v>345358</v>
      </c>
      <c r="I21" s="23">
        <v>5212022</v>
      </c>
      <c r="J21" s="23">
        <v>4500000</v>
      </c>
      <c r="K21" s="26" t="s">
        <v>7</v>
      </c>
      <c r="L21" s="28">
        <v>4066621</v>
      </c>
      <c r="M21" s="10">
        <v>0.78023864826357214</v>
      </c>
      <c r="N21" s="11">
        <v>6.9446944007527212E-2</v>
      </c>
      <c r="O21" s="130">
        <v>367105</v>
      </c>
      <c r="P21" s="131">
        <v>2012</v>
      </c>
    </row>
    <row r="22" spans="1:16" s="143" customFormat="1" ht="14.4" x14ac:dyDescent="0.3">
      <c r="A22" s="6">
        <v>16</v>
      </c>
      <c r="B22" s="7" t="s">
        <v>5</v>
      </c>
      <c r="C22" s="8" t="s">
        <v>19</v>
      </c>
      <c r="D22" s="152">
        <v>6415</v>
      </c>
      <c r="E22" s="12">
        <v>47422</v>
      </c>
      <c r="F22" s="22">
        <v>273102.25</v>
      </c>
      <c r="G22" s="9">
        <v>1092409</v>
      </c>
      <c r="H22" s="9">
        <v>1056854</v>
      </c>
      <c r="I22" s="23">
        <v>21280000</v>
      </c>
      <c r="J22" s="23">
        <v>20120000</v>
      </c>
      <c r="K22" s="26" t="s">
        <v>7</v>
      </c>
      <c r="L22" s="28">
        <v>16029073</v>
      </c>
      <c r="M22" s="10">
        <v>0.75324591165413535</v>
      </c>
      <c r="N22" s="11">
        <v>5.1335009398496244E-2</v>
      </c>
      <c r="O22" s="130">
        <v>1010198</v>
      </c>
      <c r="P22" s="131">
        <v>2013</v>
      </c>
    </row>
    <row r="23" spans="1:16" s="143" customFormat="1" ht="14.4" x14ac:dyDescent="0.3">
      <c r="A23" s="6">
        <v>17</v>
      </c>
      <c r="B23" s="7" t="s">
        <v>5</v>
      </c>
      <c r="C23" s="8" t="s">
        <v>20</v>
      </c>
      <c r="D23" s="152">
        <v>3481</v>
      </c>
      <c r="E23" s="12">
        <v>46691</v>
      </c>
      <c r="F23" s="22">
        <v>113863.75</v>
      </c>
      <c r="G23" s="9">
        <v>455455</v>
      </c>
      <c r="H23" s="9">
        <v>447165</v>
      </c>
      <c r="I23" s="23">
        <v>6861050</v>
      </c>
      <c r="J23" s="23">
        <v>5815000</v>
      </c>
      <c r="K23" s="26" t="s">
        <v>14</v>
      </c>
      <c r="L23" s="28">
        <v>5238359</v>
      </c>
      <c r="M23" s="10">
        <v>0.76349232260368316</v>
      </c>
      <c r="N23" s="11">
        <v>6.6382696526041937E-2</v>
      </c>
      <c r="O23" s="130">
        <v>425890</v>
      </c>
      <c r="P23" s="131">
        <v>2011</v>
      </c>
    </row>
    <row r="24" spans="1:16" s="143" customFormat="1" ht="14.4" x14ac:dyDescent="0.3">
      <c r="A24" s="6">
        <v>18</v>
      </c>
      <c r="B24" s="7" t="s">
        <v>5</v>
      </c>
      <c r="C24" s="8" t="s">
        <v>21</v>
      </c>
      <c r="D24" s="152">
        <v>4235</v>
      </c>
      <c r="E24" s="12">
        <v>44865</v>
      </c>
      <c r="F24" s="22">
        <v>238591.5</v>
      </c>
      <c r="G24" s="9">
        <v>954366</v>
      </c>
      <c r="H24" s="9">
        <v>926432</v>
      </c>
      <c r="I24" s="23">
        <v>15572396</v>
      </c>
      <c r="J24" s="23">
        <v>13100000</v>
      </c>
      <c r="K24" s="26" t="s">
        <v>9</v>
      </c>
      <c r="L24" s="28">
        <v>12605759</v>
      </c>
      <c r="M24" s="10">
        <v>0.80949386337208484</v>
      </c>
      <c r="N24" s="11">
        <v>6.1285752044836259E-2</v>
      </c>
      <c r="O24" s="130">
        <v>946456</v>
      </c>
      <c r="P24" s="131">
        <v>2012</v>
      </c>
    </row>
    <row r="25" spans="1:16" s="143" customFormat="1" ht="14.4" x14ac:dyDescent="0.3">
      <c r="A25" s="6">
        <v>19</v>
      </c>
      <c r="B25" s="7" t="s">
        <v>5</v>
      </c>
      <c r="C25" s="8" t="s">
        <v>22</v>
      </c>
      <c r="D25" s="152">
        <v>4364</v>
      </c>
      <c r="E25" s="12">
        <v>47057</v>
      </c>
      <c r="F25" s="22">
        <v>150683</v>
      </c>
      <c r="G25" s="9">
        <v>602732</v>
      </c>
      <c r="H25" s="9">
        <v>578953</v>
      </c>
      <c r="I25" s="23">
        <v>11650000</v>
      </c>
      <c r="J25" s="23">
        <v>11820000</v>
      </c>
      <c r="K25" s="26" t="s">
        <v>7</v>
      </c>
      <c r="L25" s="28">
        <v>8301727</v>
      </c>
      <c r="M25" s="10">
        <v>0.71259459227467814</v>
      </c>
      <c r="N25" s="11">
        <v>5.1736652360515022E-2</v>
      </c>
      <c r="O25" s="130">
        <v>647069</v>
      </c>
      <c r="P25" s="131">
        <v>2013</v>
      </c>
    </row>
    <row r="26" spans="1:16" s="148" customFormat="1" ht="14.4" x14ac:dyDescent="0.3">
      <c r="A26" s="6">
        <v>20</v>
      </c>
      <c r="B26" s="7" t="s">
        <v>5</v>
      </c>
      <c r="C26" s="8" t="s">
        <v>23</v>
      </c>
      <c r="D26" s="152">
        <v>1934</v>
      </c>
      <c r="E26" s="12">
        <v>42308</v>
      </c>
      <c r="F26" s="22">
        <v>76978.5</v>
      </c>
      <c r="G26" s="9">
        <v>307914</v>
      </c>
      <c r="H26" s="9">
        <v>285419</v>
      </c>
      <c r="I26" s="23">
        <v>4244102</v>
      </c>
      <c r="J26" s="23">
        <v>3975000</v>
      </c>
      <c r="K26" s="26" t="s">
        <v>7</v>
      </c>
      <c r="L26" s="28">
        <v>3653066</v>
      </c>
      <c r="M26" s="10">
        <v>0.8607394449992013</v>
      </c>
      <c r="N26" s="11">
        <v>7.2551036709296801E-2</v>
      </c>
      <c r="O26" s="130">
        <v>287403</v>
      </c>
      <c r="P26" s="131">
        <v>2011</v>
      </c>
    </row>
    <row r="27" spans="1:16" s="148" customFormat="1" ht="14.4" x14ac:dyDescent="0.3">
      <c r="A27" s="6">
        <v>21</v>
      </c>
      <c r="B27" s="7" t="s">
        <v>5</v>
      </c>
      <c r="C27" s="8" t="s">
        <v>23</v>
      </c>
      <c r="D27" s="152">
        <v>4690</v>
      </c>
      <c r="E27" s="12">
        <v>46691</v>
      </c>
      <c r="F27" s="22">
        <v>273368.75</v>
      </c>
      <c r="G27" s="9">
        <v>1093475</v>
      </c>
      <c r="H27" s="9">
        <v>1063683</v>
      </c>
      <c r="I27" s="23">
        <v>20499067</v>
      </c>
      <c r="J27" s="23">
        <v>17150000</v>
      </c>
      <c r="K27" s="26" t="s">
        <v>9</v>
      </c>
      <c r="L27" s="28">
        <v>15178988</v>
      </c>
      <c r="M27" s="10">
        <v>0.74047213953688718</v>
      </c>
      <c r="N27" s="11">
        <v>5.3342671644519238E-2</v>
      </c>
      <c r="O27" s="130">
        <v>1290346</v>
      </c>
      <c r="P27" s="131">
        <v>2012</v>
      </c>
    </row>
    <row r="28" spans="1:16" s="148" customFormat="1" ht="14.4" x14ac:dyDescent="0.3">
      <c r="A28" s="6">
        <v>22</v>
      </c>
      <c r="B28" s="7" t="s">
        <v>5</v>
      </c>
      <c r="C28" s="8" t="s">
        <v>24</v>
      </c>
      <c r="D28" s="152">
        <v>2868</v>
      </c>
      <c r="E28" s="12">
        <v>45961</v>
      </c>
      <c r="F28" s="22">
        <v>79519</v>
      </c>
      <c r="G28" s="9">
        <v>318076</v>
      </c>
      <c r="H28" s="9">
        <v>281975</v>
      </c>
      <c r="I28" s="23">
        <v>4630000</v>
      </c>
      <c r="J28" s="23">
        <v>4180000</v>
      </c>
      <c r="K28" s="26" t="s">
        <v>9</v>
      </c>
      <c r="L28" s="28">
        <v>3622433</v>
      </c>
      <c r="M28" s="10">
        <v>0.78238293736501074</v>
      </c>
      <c r="N28" s="11">
        <v>6.8698920086393084E-2</v>
      </c>
      <c r="O28" s="130">
        <v>291156</v>
      </c>
      <c r="P28" s="131">
        <v>2013</v>
      </c>
    </row>
    <row r="29" spans="1:16" s="148" customFormat="1" ht="14.4" x14ac:dyDescent="0.3">
      <c r="A29" s="6">
        <v>23</v>
      </c>
      <c r="B29" s="7" t="s">
        <v>5</v>
      </c>
      <c r="C29" s="8" t="s">
        <v>25</v>
      </c>
      <c r="D29" s="152">
        <v>3348</v>
      </c>
      <c r="E29" s="12">
        <v>45230</v>
      </c>
      <c r="F29" s="22">
        <v>145044.75</v>
      </c>
      <c r="G29" s="9">
        <v>580179</v>
      </c>
      <c r="H29" s="9">
        <v>542964</v>
      </c>
      <c r="I29" s="23">
        <v>10025199</v>
      </c>
      <c r="J29" s="23">
        <v>8170000</v>
      </c>
      <c r="K29" s="26" t="s">
        <v>14</v>
      </c>
      <c r="L29" s="28">
        <v>7497593</v>
      </c>
      <c r="M29" s="10">
        <v>0.74787473046669695</v>
      </c>
      <c r="N29" s="11">
        <v>5.7872068175404801E-2</v>
      </c>
      <c r="O29" s="130">
        <v>566489</v>
      </c>
      <c r="P29" s="131">
        <v>2011</v>
      </c>
    </row>
    <row r="30" spans="1:16" s="148" customFormat="1" ht="14.4" x14ac:dyDescent="0.3">
      <c r="A30" s="6">
        <v>24</v>
      </c>
      <c r="B30" s="7" t="s">
        <v>5</v>
      </c>
      <c r="C30" s="8" t="s">
        <v>26</v>
      </c>
      <c r="D30" s="152">
        <v>2865</v>
      </c>
      <c r="E30" s="12">
        <v>45596</v>
      </c>
      <c r="F30" s="22">
        <v>93629.75</v>
      </c>
      <c r="G30" s="9">
        <v>374519</v>
      </c>
      <c r="H30" s="9">
        <v>362602</v>
      </c>
      <c r="I30" s="23">
        <v>6324931</v>
      </c>
      <c r="J30" s="23">
        <v>5000000</v>
      </c>
      <c r="K30" s="26" t="s">
        <v>7</v>
      </c>
      <c r="L30" s="28">
        <v>5000948</v>
      </c>
      <c r="M30" s="10">
        <v>0.79067234093146632</v>
      </c>
      <c r="N30" s="11">
        <v>5.9213136080061582E-2</v>
      </c>
      <c r="O30" s="130">
        <v>411581</v>
      </c>
      <c r="P30" s="131">
        <v>2012</v>
      </c>
    </row>
    <row r="31" spans="1:16" s="148" customFormat="1" ht="14.4" x14ac:dyDescent="0.3">
      <c r="A31" s="6">
        <v>25</v>
      </c>
      <c r="B31" s="7" t="s">
        <v>5</v>
      </c>
      <c r="C31" s="8" t="s">
        <v>27</v>
      </c>
      <c r="D31" s="152">
        <v>2707</v>
      </c>
      <c r="E31" s="12">
        <v>44135</v>
      </c>
      <c r="F31" s="22">
        <v>126788.75</v>
      </c>
      <c r="G31" s="9">
        <v>507155</v>
      </c>
      <c r="H31" s="9">
        <v>489443</v>
      </c>
      <c r="I31" s="23">
        <v>8170000</v>
      </c>
      <c r="J31" s="23">
        <v>6950000</v>
      </c>
      <c r="K31" s="26" t="s">
        <v>14</v>
      </c>
      <c r="L31" s="28">
        <v>5981226</v>
      </c>
      <c r="M31" s="10">
        <v>0.73209620563035493</v>
      </c>
      <c r="N31" s="11">
        <v>6.2075275397796816E-2</v>
      </c>
      <c r="O31" s="130">
        <v>476601</v>
      </c>
      <c r="P31" s="131">
        <v>2013</v>
      </c>
    </row>
    <row r="32" spans="1:16" s="148" customFormat="1" ht="14.4" x14ac:dyDescent="0.3">
      <c r="A32" s="6">
        <v>26</v>
      </c>
      <c r="B32" s="7" t="s">
        <v>5</v>
      </c>
      <c r="C32" s="8" t="s">
        <v>28</v>
      </c>
      <c r="D32" s="152">
        <v>2573</v>
      </c>
      <c r="E32" s="12">
        <v>42308</v>
      </c>
      <c r="F32" s="22">
        <v>86962</v>
      </c>
      <c r="G32" s="9">
        <v>347848</v>
      </c>
      <c r="H32" s="9">
        <v>340432</v>
      </c>
      <c r="I32" s="23">
        <v>5891761</v>
      </c>
      <c r="J32" s="23">
        <v>5050000</v>
      </c>
      <c r="K32" s="26" t="s">
        <v>7</v>
      </c>
      <c r="L32" s="28">
        <v>4893730</v>
      </c>
      <c r="M32" s="10">
        <v>0.83060565423478649</v>
      </c>
      <c r="N32" s="11">
        <v>5.9039733621238197E-2</v>
      </c>
      <c r="O32" s="130">
        <v>383195</v>
      </c>
      <c r="P32" s="131">
        <v>2011</v>
      </c>
    </row>
    <row r="33" spans="1:16" s="148" customFormat="1" ht="14.4" x14ac:dyDescent="0.3">
      <c r="A33" s="6">
        <v>27</v>
      </c>
      <c r="B33" s="7" t="s">
        <v>5</v>
      </c>
      <c r="C33" s="8" t="s">
        <v>29</v>
      </c>
      <c r="D33" s="152">
        <v>3208</v>
      </c>
      <c r="E33" s="12">
        <v>46691</v>
      </c>
      <c r="F33" s="22">
        <v>188884</v>
      </c>
      <c r="G33" s="9">
        <v>755536</v>
      </c>
      <c r="H33" s="9">
        <v>736914</v>
      </c>
      <c r="I33" s="23">
        <v>13683653</v>
      </c>
      <c r="J33" s="23">
        <v>10000000</v>
      </c>
      <c r="K33" s="26" t="s">
        <v>7</v>
      </c>
      <c r="L33" s="28">
        <v>10530327</v>
      </c>
      <c r="M33" s="10">
        <v>0.76955524961061206</v>
      </c>
      <c r="N33" s="11">
        <v>5.5214495719819845E-2</v>
      </c>
      <c r="O33" s="130">
        <v>759809</v>
      </c>
      <c r="P33" s="131">
        <v>2012</v>
      </c>
    </row>
    <row r="34" spans="1:16" s="148" customFormat="1" ht="14.4" x14ac:dyDescent="0.3">
      <c r="A34" s="6">
        <v>28</v>
      </c>
      <c r="B34" s="7" t="s">
        <v>5</v>
      </c>
      <c r="C34" s="8" t="s">
        <v>30</v>
      </c>
      <c r="D34" s="152">
        <v>3637</v>
      </c>
      <c r="E34" s="12">
        <v>45596</v>
      </c>
      <c r="F34" s="22">
        <v>93070</v>
      </c>
      <c r="G34" s="9">
        <v>372280</v>
      </c>
      <c r="H34" s="9">
        <v>360683</v>
      </c>
      <c r="I34" s="23">
        <v>5915000</v>
      </c>
      <c r="J34" s="23">
        <v>5740000</v>
      </c>
      <c r="K34" s="26" t="s">
        <v>7</v>
      </c>
      <c r="L34" s="28">
        <v>4663978</v>
      </c>
      <c r="M34" s="10">
        <v>0.78850008453085374</v>
      </c>
      <c r="N34" s="11">
        <v>6.2938292476754018E-2</v>
      </c>
      <c r="O34" s="130">
        <v>325799</v>
      </c>
      <c r="P34" s="131">
        <v>2013</v>
      </c>
    </row>
    <row r="35" spans="1:16" s="148" customFormat="1" ht="14.4" x14ac:dyDescent="0.3">
      <c r="A35" s="6">
        <v>29</v>
      </c>
      <c r="B35" s="7" t="s">
        <v>5</v>
      </c>
      <c r="C35" s="8" t="s">
        <v>31</v>
      </c>
      <c r="D35" s="152">
        <v>3795</v>
      </c>
      <c r="E35" s="12">
        <v>42308</v>
      </c>
      <c r="F35" s="22">
        <v>203637.5</v>
      </c>
      <c r="G35" s="9">
        <v>814550</v>
      </c>
      <c r="H35" s="9">
        <v>790208</v>
      </c>
      <c r="I35" s="23">
        <v>14571996</v>
      </c>
      <c r="J35" s="23">
        <v>10575000</v>
      </c>
      <c r="K35" s="26" t="s">
        <v>7</v>
      </c>
      <c r="L35" s="28">
        <v>12008402</v>
      </c>
      <c r="M35" s="10">
        <v>0.82407392919954137</v>
      </c>
      <c r="N35" s="11">
        <v>5.5898313449989967E-2</v>
      </c>
      <c r="O35" s="130">
        <v>780376</v>
      </c>
      <c r="P35" s="131">
        <v>2011</v>
      </c>
    </row>
    <row r="36" spans="1:16" s="148" customFormat="1" ht="14.4" x14ac:dyDescent="0.3">
      <c r="A36" s="6">
        <v>30</v>
      </c>
      <c r="B36" s="7" t="s">
        <v>5</v>
      </c>
      <c r="C36" s="8" t="s">
        <v>32</v>
      </c>
      <c r="D36" s="152">
        <v>3726</v>
      </c>
      <c r="E36" s="12">
        <v>46326</v>
      </c>
      <c r="F36" s="22">
        <v>207276.5</v>
      </c>
      <c r="G36" s="9">
        <v>829106</v>
      </c>
      <c r="H36" s="9">
        <v>803807</v>
      </c>
      <c r="I36" s="23">
        <v>13807900</v>
      </c>
      <c r="J36" s="23">
        <v>9900000</v>
      </c>
      <c r="K36" s="26" t="s">
        <v>7</v>
      </c>
      <c r="L36" s="28">
        <v>10714129</v>
      </c>
      <c r="M36" s="10">
        <v>0.77594196076159305</v>
      </c>
      <c r="N36" s="11">
        <v>6.0045770899267811E-2</v>
      </c>
      <c r="O36" s="130">
        <v>756178</v>
      </c>
      <c r="P36" s="131">
        <v>2012</v>
      </c>
    </row>
    <row r="37" spans="1:16" s="148" customFormat="1" ht="14.4" x14ac:dyDescent="0.3">
      <c r="A37" s="6">
        <v>31</v>
      </c>
      <c r="B37" s="7" t="s">
        <v>5</v>
      </c>
      <c r="C37" s="8" t="s">
        <v>33</v>
      </c>
      <c r="D37" s="152">
        <v>2436</v>
      </c>
      <c r="E37" s="12">
        <v>45961</v>
      </c>
      <c r="F37" s="22">
        <v>104535.5</v>
      </c>
      <c r="G37" s="9">
        <v>418142</v>
      </c>
      <c r="H37" s="9">
        <v>374069</v>
      </c>
      <c r="I37" s="23">
        <v>6945000</v>
      </c>
      <c r="J37" s="23">
        <v>7040000</v>
      </c>
      <c r="K37" s="26" t="s">
        <v>9</v>
      </c>
      <c r="L37" s="28">
        <v>5368552</v>
      </c>
      <c r="M37" s="10">
        <v>0.77300964722822174</v>
      </c>
      <c r="N37" s="11">
        <v>6.0207631389488842E-2</v>
      </c>
      <c r="O37" s="130">
        <v>401469</v>
      </c>
      <c r="P37" s="131">
        <v>2013</v>
      </c>
    </row>
    <row r="38" spans="1:16" s="148" customFormat="1" ht="14.4" x14ac:dyDescent="0.3">
      <c r="A38" s="6">
        <v>32</v>
      </c>
      <c r="B38" s="7" t="s">
        <v>5</v>
      </c>
      <c r="C38" s="8" t="s">
        <v>33</v>
      </c>
      <c r="D38" s="152">
        <v>4959</v>
      </c>
      <c r="E38" s="12">
        <v>45596</v>
      </c>
      <c r="F38" s="22">
        <v>189148.75</v>
      </c>
      <c r="G38" s="9">
        <v>756595</v>
      </c>
      <c r="H38" s="9">
        <v>686388</v>
      </c>
      <c r="I38" s="23">
        <v>16068538</v>
      </c>
      <c r="J38" s="23">
        <v>11710000</v>
      </c>
      <c r="K38" s="26" t="s">
        <v>9</v>
      </c>
      <c r="L38" s="28">
        <v>10285258</v>
      </c>
      <c r="M38" s="10">
        <v>0.64008673346635514</v>
      </c>
      <c r="N38" s="11">
        <v>4.7085490913983584E-2</v>
      </c>
      <c r="O38" s="130">
        <v>721620</v>
      </c>
      <c r="P38" s="131">
        <v>2011</v>
      </c>
    </row>
    <row r="39" spans="1:16" s="148" customFormat="1" ht="14.4" x14ac:dyDescent="0.3">
      <c r="A39" s="6">
        <v>33</v>
      </c>
      <c r="B39" s="7" t="s">
        <v>5</v>
      </c>
      <c r="C39" s="8" t="s">
        <v>34</v>
      </c>
      <c r="D39" s="152">
        <v>1907</v>
      </c>
      <c r="E39" s="12">
        <v>44865</v>
      </c>
      <c r="F39" s="22">
        <v>100734.5</v>
      </c>
      <c r="G39" s="9">
        <v>402938</v>
      </c>
      <c r="H39" s="9">
        <v>392015</v>
      </c>
      <c r="I39" s="23">
        <v>6432764</v>
      </c>
      <c r="J39" s="23">
        <v>4900000</v>
      </c>
      <c r="K39" s="26" t="s">
        <v>14</v>
      </c>
      <c r="L39" s="28">
        <v>4954998</v>
      </c>
      <c r="M39" s="10">
        <v>0.77027511035691654</v>
      </c>
      <c r="N39" s="11">
        <v>6.2638393076444282E-2</v>
      </c>
      <c r="O39" s="130">
        <v>392146</v>
      </c>
      <c r="P39" s="131">
        <v>2012</v>
      </c>
    </row>
    <row r="40" spans="1:16" s="148" customFormat="1" ht="14.4" x14ac:dyDescent="0.3">
      <c r="A40" s="6">
        <v>34</v>
      </c>
      <c r="B40" s="7" t="s">
        <v>5</v>
      </c>
      <c r="C40" s="8" t="s">
        <v>34</v>
      </c>
      <c r="D40" s="152">
        <v>2502</v>
      </c>
      <c r="E40" s="12">
        <v>44135</v>
      </c>
      <c r="F40" s="22">
        <v>174398.25</v>
      </c>
      <c r="G40" s="9">
        <v>697593</v>
      </c>
      <c r="H40" s="9">
        <v>597101</v>
      </c>
      <c r="I40" s="23">
        <v>11070000</v>
      </c>
      <c r="J40" s="23">
        <v>10550000</v>
      </c>
      <c r="K40" s="26" t="s">
        <v>7</v>
      </c>
      <c r="L40" s="28">
        <v>8523821</v>
      </c>
      <c r="M40" s="10">
        <v>0.76999286359530261</v>
      </c>
      <c r="N40" s="11">
        <v>6.3016531165311654E-2</v>
      </c>
      <c r="O40" s="130">
        <v>644603</v>
      </c>
      <c r="P40" s="131">
        <v>2013</v>
      </c>
    </row>
    <row r="41" spans="1:16" s="148" customFormat="1" ht="14.4" x14ac:dyDescent="0.3">
      <c r="A41" s="6">
        <v>35</v>
      </c>
      <c r="B41" s="7" t="s">
        <v>5</v>
      </c>
      <c r="C41" s="8" t="s">
        <v>35</v>
      </c>
      <c r="D41" s="152">
        <v>2596</v>
      </c>
      <c r="E41" s="12">
        <v>44500</v>
      </c>
      <c r="F41" s="22">
        <v>62993</v>
      </c>
      <c r="G41" s="9">
        <v>251972</v>
      </c>
      <c r="H41" s="9">
        <v>241999</v>
      </c>
      <c r="I41" s="23">
        <v>4137008</v>
      </c>
      <c r="J41" s="23">
        <v>3835000</v>
      </c>
      <c r="K41" s="26" t="s">
        <v>7</v>
      </c>
      <c r="L41" s="28">
        <v>3354388</v>
      </c>
      <c r="M41" s="10">
        <v>0.81082463461516152</v>
      </c>
      <c r="N41" s="11">
        <v>6.090681961456202E-2</v>
      </c>
      <c r="O41" s="130">
        <v>239595</v>
      </c>
      <c r="P41" s="131">
        <v>2011</v>
      </c>
    </row>
    <row r="42" spans="1:16" s="148" customFormat="1" ht="14.4" x14ac:dyDescent="0.3">
      <c r="A42" s="6">
        <v>36</v>
      </c>
      <c r="B42" s="7" t="s">
        <v>5</v>
      </c>
      <c r="C42" s="8" t="s">
        <v>36</v>
      </c>
      <c r="D42" s="152">
        <v>3394</v>
      </c>
      <c r="E42" s="12">
        <v>45961</v>
      </c>
      <c r="F42" s="22">
        <v>123130</v>
      </c>
      <c r="G42" s="9">
        <v>492520</v>
      </c>
      <c r="H42" s="9">
        <v>467834</v>
      </c>
      <c r="I42" s="23">
        <v>8197508</v>
      </c>
      <c r="J42" s="23">
        <v>6850000</v>
      </c>
      <c r="K42" s="26" t="s">
        <v>7</v>
      </c>
      <c r="L42" s="28">
        <v>6678142</v>
      </c>
      <c r="M42" s="10">
        <v>0.81465513665860401</v>
      </c>
      <c r="N42" s="11">
        <v>6.008167360129444E-2</v>
      </c>
      <c r="O42" s="130">
        <v>490924</v>
      </c>
      <c r="P42" s="131">
        <v>2012</v>
      </c>
    </row>
    <row r="43" spans="1:16" s="148" customFormat="1" ht="14.4" x14ac:dyDescent="0.3">
      <c r="A43" s="6">
        <v>37</v>
      </c>
      <c r="B43" s="7" t="s">
        <v>5</v>
      </c>
      <c r="C43" s="8" t="s">
        <v>37</v>
      </c>
      <c r="D43" s="152">
        <v>4095</v>
      </c>
      <c r="E43" s="12">
        <v>44500</v>
      </c>
      <c r="F43" s="22">
        <v>202033</v>
      </c>
      <c r="G43" s="9">
        <v>808132</v>
      </c>
      <c r="H43" s="9">
        <v>731803</v>
      </c>
      <c r="I43" s="23">
        <v>12905000</v>
      </c>
      <c r="J43" s="23">
        <v>11300000</v>
      </c>
      <c r="K43" s="26" t="s">
        <v>7</v>
      </c>
      <c r="L43" s="28">
        <v>9703218</v>
      </c>
      <c r="M43" s="10">
        <v>0.75189600929872147</v>
      </c>
      <c r="N43" s="11">
        <v>6.2621619527315001E-2</v>
      </c>
      <c r="O43" s="130">
        <v>717870</v>
      </c>
      <c r="P43" s="131">
        <v>2013</v>
      </c>
    </row>
    <row r="44" spans="1:16" s="148" customFormat="1" ht="14.4" x14ac:dyDescent="0.3">
      <c r="A44" s="6">
        <v>38</v>
      </c>
      <c r="B44" s="7" t="s">
        <v>5</v>
      </c>
      <c r="C44" s="8" t="s">
        <v>38</v>
      </c>
      <c r="D44" s="152">
        <v>2136</v>
      </c>
      <c r="E44" s="12">
        <v>45596</v>
      </c>
      <c r="F44" s="22">
        <v>63464.25</v>
      </c>
      <c r="G44" s="9">
        <v>253857</v>
      </c>
      <c r="H44" s="9">
        <v>245597</v>
      </c>
      <c r="I44" s="23">
        <v>3870381</v>
      </c>
      <c r="J44" s="23">
        <v>3070000</v>
      </c>
      <c r="K44" s="26" t="s">
        <v>9</v>
      </c>
      <c r="L44" s="28">
        <v>2986784</v>
      </c>
      <c r="M44" s="10">
        <v>0.77170283752426438</v>
      </c>
      <c r="N44" s="11">
        <v>6.5589666753738202E-2</v>
      </c>
      <c r="O44" s="130">
        <v>240222</v>
      </c>
      <c r="P44" s="131">
        <v>2011</v>
      </c>
    </row>
    <row r="45" spans="1:16" s="148" customFormat="1" ht="14.4" x14ac:dyDescent="0.3">
      <c r="A45" s="6">
        <v>39</v>
      </c>
      <c r="B45" s="7" t="s">
        <v>5</v>
      </c>
      <c r="C45" s="8" t="s">
        <v>39</v>
      </c>
      <c r="D45" s="152">
        <v>2418</v>
      </c>
      <c r="E45" s="12">
        <v>46326</v>
      </c>
      <c r="F45" s="22">
        <v>106233.25</v>
      </c>
      <c r="G45" s="9">
        <v>424933</v>
      </c>
      <c r="H45" s="9">
        <v>402501</v>
      </c>
      <c r="I45" s="23">
        <v>7765111</v>
      </c>
      <c r="J45" s="23">
        <v>5850000</v>
      </c>
      <c r="K45" s="26" t="s">
        <v>7</v>
      </c>
      <c r="L45" s="28">
        <v>5514062</v>
      </c>
      <c r="M45" s="10">
        <v>0.71010729917447413</v>
      </c>
      <c r="N45" s="11">
        <v>5.4723364546881557E-2</v>
      </c>
      <c r="O45" s="130">
        <v>429497</v>
      </c>
      <c r="P45" s="131">
        <v>2012</v>
      </c>
    </row>
    <row r="46" spans="1:16" s="148" customFormat="1" ht="14.4" x14ac:dyDescent="0.3">
      <c r="A46" s="6">
        <v>40</v>
      </c>
      <c r="B46" s="7" t="s">
        <v>5</v>
      </c>
      <c r="C46" s="8" t="s">
        <v>40</v>
      </c>
      <c r="D46" s="152">
        <v>3526</v>
      </c>
      <c r="E46" s="12">
        <v>45230</v>
      </c>
      <c r="F46" s="22">
        <v>154272.5</v>
      </c>
      <c r="G46" s="9">
        <v>617090</v>
      </c>
      <c r="H46" s="9">
        <v>588905</v>
      </c>
      <c r="I46" s="23">
        <v>10370000</v>
      </c>
      <c r="J46" s="23">
        <v>10060000</v>
      </c>
      <c r="K46" s="26" t="s">
        <v>7</v>
      </c>
      <c r="L46" s="28">
        <v>8133242</v>
      </c>
      <c r="M46" s="10">
        <v>0.7843049180327869</v>
      </c>
      <c r="N46" s="11">
        <v>5.9507232401157184E-2</v>
      </c>
      <c r="O46" s="130">
        <v>529134</v>
      </c>
      <c r="P46" s="131">
        <v>2013</v>
      </c>
    </row>
    <row r="47" spans="1:16" s="148" customFormat="1" ht="14.4" x14ac:dyDescent="0.3">
      <c r="A47" s="6">
        <v>41</v>
      </c>
      <c r="B47" s="7" t="s">
        <v>5</v>
      </c>
      <c r="C47" s="8" t="s">
        <v>41</v>
      </c>
      <c r="D47" s="152">
        <v>2315</v>
      </c>
      <c r="E47" s="12">
        <v>44500</v>
      </c>
      <c r="F47" s="22">
        <v>149656.75</v>
      </c>
      <c r="G47" s="9">
        <v>598627</v>
      </c>
      <c r="H47" s="9">
        <v>572269</v>
      </c>
      <c r="I47" s="23">
        <v>10836927</v>
      </c>
      <c r="J47" s="23">
        <v>9570000</v>
      </c>
      <c r="K47" s="26" t="s">
        <v>7</v>
      </c>
      <c r="L47" s="28">
        <v>8539138</v>
      </c>
      <c r="M47" s="10">
        <v>0.78796673632663572</v>
      </c>
      <c r="N47" s="11">
        <v>5.5239552688691178E-2</v>
      </c>
      <c r="O47" s="130">
        <v>596959</v>
      </c>
      <c r="P47" s="131">
        <v>2011</v>
      </c>
    </row>
    <row r="48" spans="1:16" s="148" customFormat="1" ht="14.4" x14ac:dyDescent="0.3">
      <c r="A48" s="6">
        <v>42</v>
      </c>
      <c r="B48" s="7" t="s">
        <v>5</v>
      </c>
      <c r="C48" s="8" t="s">
        <v>42</v>
      </c>
      <c r="D48" s="152">
        <v>3248</v>
      </c>
      <c r="E48" s="12">
        <v>47787</v>
      </c>
      <c r="F48" s="22">
        <v>278627.75</v>
      </c>
      <c r="G48" s="9">
        <v>1114511</v>
      </c>
      <c r="H48" s="9">
        <v>1074099</v>
      </c>
      <c r="I48" s="23">
        <v>22880206</v>
      </c>
      <c r="J48" s="23">
        <v>19655000</v>
      </c>
      <c r="K48" s="26" t="s">
        <v>7</v>
      </c>
      <c r="L48" s="28">
        <v>16304776</v>
      </c>
      <c r="M48" s="10">
        <v>0.71261491264545429</v>
      </c>
      <c r="N48" s="11">
        <v>4.8710706538219108E-2</v>
      </c>
      <c r="O48" s="130">
        <v>1117265</v>
      </c>
      <c r="P48" s="131">
        <v>2011</v>
      </c>
    </row>
    <row r="49" spans="1:16" s="148" customFormat="1" ht="14.4" x14ac:dyDescent="0.3">
      <c r="A49" s="6">
        <v>43</v>
      </c>
      <c r="B49" s="7" t="s">
        <v>5</v>
      </c>
      <c r="C49" s="8" t="s">
        <v>43</v>
      </c>
      <c r="D49" s="152">
        <v>1991</v>
      </c>
      <c r="E49" s="12">
        <v>44500</v>
      </c>
      <c r="F49" s="22">
        <v>133687.5</v>
      </c>
      <c r="G49" s="9">
        <v>534750</v>
      </c>
      <c r="H49" s="9">
        <v>500260</v>
      </c>
      <c r="I49" s="23">
        <v>8730000</v>
      </c>
      <c r="J49" s="23">
        <v>9590000</v>
      </c>
      <c r="K49" s="26" t="s">
        <v>9</v>
      </c>
      <c r="L49" s="28">
        <v>7489935</v>
      </c>
      <c r="M49" s="10">
        <v>0.85795360824742273</v>
      </c>
      <c r="N49" s="11">
        <v>6.1254295532646046E-2</v>
      </c>
      <c r="O49" s="130">
        <v>507267</v>
      </c>
      <c r="P49" s="131">
        <v>2013</v>
      </c>
    </row>
    <row r="50" spans="1:16" s="148" customFormat="1" ht="14.4" x14ac:dyDescent="0.3">
      <c r="A50" s="6">
        <v>44</v>
      </c>
      <c r="B50" s="7" t="s">
        <v>5</v>
      </c>
      <c r="C50" s="8" t="s">
        <v>43</v>
      </c>
      <c r="D50" s="152">
        <v>4625</v>
      </c>
      <c r="E50" s="12">
        <v>45230</v>
      </c>
      <c r="F50" s="22">
        <v>146822.75</v>
      </c>
      <c r="G50" s="9">
        <v>587291</v>
      </c>
      <c r="H50" s="9">
        <v>555819</v>
      </c>
      <c r="I50" s="23">
        <v>9201138</v>
      </c>
      <c r="J50" s="23">
        <v>8535000</v>
      </c>
      <c r="K50" s="26" t="s">
        <v>7</v>
      </c>
      <c r="L50" s="28">
        <v>6877261</v>
      </c>
      <c r="M50" s="10">
        <v>0.74743591499225426</v>
      </c>
      <c r="N50" s="11">
        <v>6.3828083004515312E-2</v>
      </c>
      <c r="O50" s="130">
        <v>588615</v>
      </c>
      <c r="P50" s="131">
        <v>2011</v>
      </c>
    </row>
    <row r="51" spans="1:16" s="148" customFormat="1" ht="14.4" x14ac:dyDescent="0.3">
      <c r="A51" s="6">
        <v>45</v>
      </c>
      <c r="B51" s="7" t="s">
        <v>5</v>
      </c>
      <c r="C51" s="8" t="s">
        <v>44</v>
      </c>
      <c r="D51" s="152">
        <v>2097</v>
      </c>
      <c r="E51" s="12">
        <v>45961</v>
      </c>
      <c r="F51" s="22">
        <v>107242.75</v>
      </c>
      <c r="G51" s="9">
        <v>428971</v>
      </c>
      <c r="H51" s="9">
        <v>383263</v>
      </c>
      <c r="I51" s="23">
        <v>6754945</v>
      </c>
      <c r="J51" s="23">
        <v>5000000</v>
      </c>
      <c r="K51" s="26" t="s">
        <v>9</v>
      </c>
      <c r="L51" s="28">
        <v>5215384</v>
      </c>
      <c r="M51" s="10">
        <v>0.77208385856583583</v>
      </c>
      <c r="N51" s="11">
        <v>6.3504736159953931E-2</v>
      </c>
      <c r="O51" s="130">
        <v>416963</v>
      </c>
      <c r="P51" s="131">
        <v>2012</v>
      </c>
    </row>
    <row r="52" spans="1:16" s="148" customFormat="1" ht="14.4" x14ac:dyDescent="0.3">
      <c r="A52" s="6">
        <v>46</v>
      </c>
      <c r="B52" s="7" t="s">
        <v>5</v>
      </c>
      <c r="C52" s="8" t="s">
        <v>45</v>
      </c>
      <c r="D52" s="152">
        <v>3296</v>
      </c>
      <c r="E52" s="12">
        <v>45596</v>
      </c>
      <c r="F52" s="22">
        <v>106219</v>
      </c>
      <c r="G52" s="9">
        <v>424876</v>
      </c>
      <c r="H52" s="9">
        <v>415332</v>
      </c>
      <c r="I52" s="23">
        <v>7110000</v>
      </c>
      <c r="J52" s="23">
        <v>7190000</v>
      </c>
      <c r="K52" s="26" t="s">
        <v>9</v>
      </c>
      <c r="L52" s="28">
        <v>5728498</v>
      </c>
      <c r="M52" s="10">
        <v>0.8056959212376934</v>
      </c>
      <c r="N52" s="11">
        <v>5.9757524613220814E-2</v>
      </c>
      <c r="O52" s="130">
        <v>374332</v>
      </c>
      <c r="P52" s="131">
        <v>2013</v>
      </c>
    </row>
    <row r="53" spans="1:16" s="148" customFormat="1" ht="14.4" x14ac:dyDescent="0.3">
      <c r="A53" s="6">
        <v>47</v>
      </c>
      <c r="B53" s="7" t="s">
        <v>5</v>
      </c>
      <c r="C53" s="8" t="s">
        <v>46</v>
      </c>
      <c r="D53" s="152">
        <v>2442</v>
      </c>
      <c r="E53" s="12">
        <v>45961</v>
      </c>
      <c r="F53" s="22">
        <v>126571.5</v>
      </c>
      <c r="G53" s="9">
        <v>506286</v>
      </c>
      <c r="H53" s="9">
        <v>457500</v>
      </c>
      <c r="I53" s="23">
        <v>8761567</v>
      </c>
      <c r="J53" s="23">
        <v>7740000</v>
      </c>
      <c r="K53" s="26" t="s">
        <v>9</v>
      </c>
      <c r="L53" s="28">
        <v>6402439</v>
      </c>
      <c r="M53" s="10">
        <v>0.73074131602257908</v>
      </c>
      <c r="N53" s="11">
        <v>5.7784868848232286E-2</v>
      </c>
      <c r="O53" s="130">
        <v>534683</v>
      </c>
      <c r="P53" s="131">
        <v>2011</v>
      </c>
    </row>
    <row r="54" spans="1:16" s="148" customFormat="1" ht="14.4" x14ac:dyDescent="0.3">
      <c r="A54" s="6">
        <v>48</v>
      </c>
      <c r="B54" s="7" t="s">
        <v>5</v>
      </c>
      <c r="C54" s="8" t="s">
        <v>46</v>
      </c>
      <c r="D54" s="152">
        <v>3553</v>
      </c>
      <c r="E54" s="12">
        <v>44500</v>
      </c>
      <c r="F54" s="22">
        <v>207551.5</v>
      </c>
      <c r="G54" s="9">
        <v>830206</v>
      </c>
      <c r="H54" s="9">
        <v>786680</v>
      </c>
      <c r="I54" s="23">
        <v>14700000</v>
      </c>
      <c r="J54" s="23">
        <v>14730000</v>
      </c>
      <c r="K54" s="26" t="s">
        <v>7</v>
      </c>
      <c r="L54" s="28">
        <v>11893526</v>
      </c>
      <c r="M54" s="10">
        <v>0.80908340136054424</v>
      </c>
      <c r="N54" s="11">
        <v>5.6476598639455783E-2</v>
      </c>
      <c r="O54" s="130">
        <v>851654</v>
      </c>
      <c r="P54" s="131">
        <v>2013</v>
      </c>
    </row>
    <row r="55" spans="1:16" s="148" customFormat="1" ht="14.4" x14ac:dyDescent="0.3">
      <c r="A55" s="6">
        <v>49</v>
      </c>
      <c r="B55" s="7" t="s">
        <v>5</v>
      </c>
      <c r="C55" s="8" t="s">
        <v>46</v>
      </c>
      <c r="D55" s="152">
        <v>4636</v>
      </c>
      <c r="E55" s="12">
        <v>47422</v>
      </c>
      <c r="F55" s="22">
        <v>388621.5</v>
      </c>
      <c r="G55" s="9">
        <v>1554486</v>
      </c>
      <c r="H55" s="9">
        <v>1491273</v>
      </c>
      <c r="I55" s="23">
        <v>32879825</v>
      </c>
      <c r="J55" s="23">
        <v>28190000</v>
      </c>
      <c r="K55" s="26" t="s">
        <v>7</v>
      </c>
      <c r="L55" s="28">
        <v>22967601</v>
      </c>
      <c r="M55" s="10">
        <v>0.69853172880330117</v>
      </c>
      <c r="N55" s="11">
        <v>4.7277806375185999E-2</v>
      </c>
      <c r="O55" s="130">
        <v>1593044</v>
      </c>
      <c r="P55" s="131">
        <v>2011</v>
      </c>
    </row>
    <row r="56" spans="1:16" s="148" customFormat="1" ht="14.4" x14ac:dyDescent="0.3">
      <c r="A56" s="6">
        <v>50</v>
      </c>
      <c r="B56" s="7" t="s">
        <v>5</v>
      </c>
      <c r="C56" s="8" t="s">
        <v>47</v>
      </c>
      <c r="D56" s="152">
        <v>2787</v>
      </c>
      <c r="E56" s="12">
        <v>45596</v>
      </c>
      <c r="F56" s="22">
        <v>80617.5</v>
      </c>
      <c r="G56" s="9">
        <v>322470</v>
      </c>
      <c r="H56" s="9">
        <v>308281</v>
      </c>
      <c r="I56" s="23">
        <v>4593283</v>
      </c>
      <c r="J56" s="23">
        <v>3755000</v>
      </c>
      <c r="K56" s="26" t="s">
        <v>14</v>
      </c>
      <c r="L56" s="28">
        <v>3699017</v>
      </c>
      <c r="M56" s="10">
        <v>0.80531005818713974</v>
      </c>
      <c r="N56" s="11">
        <v>7.0204688019440561E-2</v>
      </c>
      <c r="O56" s="130">
        <v>272998</v>
      </c>
      <c r="P56" s="131">
        <v>2011</v>
      </c>
    </row>
    <row r="57" spans="1:16" s="148" customFormat="1" ht="14.4" x14ac:dyDescent="0.3">
      <c r="A57" s="6">
        <v>51</v>
      </c>
      <c r="B57" s="7" t="s">
        <v>5</v>
      </c>
      <c r="C57" s="8" t="s">
        <v>48</v>
      </c>
      <c r="D57" s="152">
        <v>5025</v>
      </c>
      <c r="E57" s="12">
        <v>46326</v>
      </c>
      <c r="F57" s="22">
        <v>164508.75</v>
      </c>
      <c r="G57" s="9">
        <v>658035</v>
      </c>
      <c r="H57" s="9">
        <v>635683</v>
      </c>
      <c r="I57" s="23">
        <v>11727441</v>
      </c>
      <c r="J57" s="23">
        <v>10200000</v>
      </c>
      <c r="K57" s="26" t="s">
        <v>7</v>
      </c>
      <c r="L57" s="28">
        <v>9151812</v>
      </c>
      <c r="M57" s="10">
        <v>0.7803758722810884</v>
      </c>
      <c r="N57" s="11">
        <v>5.6110706504513642E-2</v>
      </c>
      <c r="O57" s="130">
        <v>642392</v>
      </c>
      <c r="P57" s="131">
        <v>2012</v>
      </c>
    </row>
    <row r="58" spans="1:16" s="148" customFormat="1" ht="14.4" x14ac:dyDescent="0.3">
      <c r="A58" s="6">
        <v>52</v>
      </c>
      <c r="B58" s="7" t="s">
        <v>5</v>
      </c>
      <c r="C58" s="8" t="s">
        <v>49</v>
      </c>
      <c r="D58" s="152">
        <v>3348</v>
      </c>
      <c r="E58" s="12">
        <v>46691</v>
      </c>
      <c r="F58" s="22">
        <v>215488</v>
      </c>
      <c r="G58" s="9">
        <v>861952</v>
      </c>
      <c r="H58" s="9">
        <v>834172</v>
      </c>
      <c r="I58" s="23">
        <v>14000000</v>
      </c>
      <c r="J58" s="23">
        <v>12570000</v>
      </c>
      <c r="K58" s="26" t="s">
        <v>7</v>
      </c>
      <c r="L58" s="28">
        <v>10285258</v>
      </c>
      <c r="M58" s="10">
        <v>0.73466128571428568</v>
      </c>
      <c r="N58" s="11">
        <v>6.1567999999999998E-2</v>
      </c>
      <c r="O58" s="130">
        <v>760292</v>
      </c>
      <c r="P58" s="131">
        <v>2013</v>
      </c>
    </row>
    <row r="59" spans="1:16" s="148" customFormat="1" ht="14.4" x14ac:dyDescent="0.3">
      <c r="A59" s="6">
        <v>53</v>
      </c>
      <c r="B59" s="7" t="s">
        <v>5</v>
      </c>
      <c r="C59" s="8" t="s">
        <v>49</v>
      </c>
      <c r="D59" s="152">
        <v>4218</v>
      </c>
      <c r="E59" s="12">
        <v>47787</v>
      </c>
      <c r="F59" s="22">
        <v>289915.75</v>
      </c>
      <c r="G59" s="9">
        <v>1159663</v>
      </c>
      <c r="H59" s="9">
        <v>1109773</v>
      </c>
      <c r="I59" s="23">
        <v>26044975</v>
      </c>
      <c r="J59" s="23">
        <v>28060000</v>
      </c>
      <c r="K59" s="26" t="s">
        <v>9</v>
      </c>
      <c r="L59" s="28">
        <v>19636189</v>
      </c>
      <c r="M59" s="10">
        <v>0.75393387784015919</v>
      </c>
      <c r="N59" s="11">
        <v>4.4525402692841901E-2</v>
      </c>
      <c r="O59" s="130">
        <v>1665360</v>
      </c>
      <c r="P59" s="131">
        <v>2011</v>
      </c>
    </row>
    <row r="60" spans="1:16" s="148" customFormat="1" ht="14.4" x14ac:dyDescent="0.3">
      <c r="A60" s="6">
        <v>54</v>
      </c>
      <c r="B60" s="7" t="s">
        <v>5</v>
      </c>
      <c r="C60" s="8" t="s">
        <v>50</v>
      </c>
      <c r="D60" s="152">
        <v>3156</v>
      </c>
      <c r="E60" s="12">
        <v>44865</v>
      </c>
      <c r="F60" s="22">
        <v>87276.75</v>
      </c>
      <c r="G60" s="9">
        <v>349107</v>
      </c>
      <c r="H60" s="9">
        <v>338409</v>
      </c>
      <c r="I60" s="23">
        <v>5461127</v>
      </c>
      <c r="J60" s="23">
        <v>4400000</v>
      </c>
      <c r="K60" s="26" t="s">
        <v>9</v>
      </c>
      <c r="L60" s="28">
        <v>4058963</v>
      </c>
      <c r="M60" s="10">
        <v>0.74324640316916268</v>
      </c>
      <c r="N60" s="11">
        <v>6.3925816044929917E-2</v>
      </c>
      <c r="O60" s="130">
        <v>340277</v>
      </c>
      <c r="P60" s="131">
        <v>2012</v>
      </c>
    </row>
    <row r="61" spans="1:16" s="148" customFormat="1" ht="14.4" x14ac:dyDescent="0.3">
      <c r="A61" s="6">
        <v>55</v>
      </c>
      <c r="B61" s="7" t="s">
        <v>5</v>
      </c>
      <c r="C61" s="8" t="s">
        <v>51</v>
      </c>
      <c r="D61" s="152">
        <v>3272</v>
      </c>
      <c r="E61" s="12">
        <v>42308</v>
      </c>
      <c r="F61" s="22">
        <v>99560</v>
      </c>
      <c r="G61" s="9">
        <v>398240</v>
      </c>
      <c r="H61" s="9">
        <v>375298</v>
      </c>
      <c r="I61" s="23">
        <v>5455000</v>
      </c>
      <c r="J61" s="23">
        <v>5780000</v>
      </c>
      <c r="K61" s="26" t="s">
        <v>7</v>
      </c>
      <c r="L61" s="28">
        <v>5368552</v>
      </c>
      <c r="M61" s="10">
        <v>0.9841525206232814</v>
      </c>
      <c r="N61" s="11">
        <v>7.3004582951420718E-2</v>
      </c>
      <c r="O61" s="130">
        <v>340840</v>
      </c>
      <c r="P61" s="131">
        <v>2013</v>
      </c>
    </row>
    <row r="62" spans="1:16" s="148" customFormat="1" ht="14.4" x14ac:dyDescent="0.3">
      <c r="A62" s="6">
        <v>56</v>
      </c>
      <c r="B62" s="7" t="s">
        <v>5</v>
      </c>
      <c r="C62" s="8" t="s">
        <v>52</v>
      </c>
      <c r="D62" s="152">
        <v>1877</v>
      </c>
      <c r="E62" s="12">
        <v>46326</v>
      </c>
      <c r="F62" s="22">
        <v>127357</v>
      </c>
      <c r="G62" s="9">
        <v>509428</v>
      </c>
      <c r="H62" s="9">
        <v>450944</v>
      </c>
      <c r="I62" s="23">
        <v>9162534</v>
      </c>
      <c r="J62" s="23">
        <v>7645000</v>
      </c>
      <c r="K62" s="26" t="s">
        <v>7</v>
      </c>
      <c r="L62" s="28">
        <v>7045746</v>
      </c>
      <c r="M62" s="10">
        <v>0.76897351758803845</v>
      </c>
      <c r="N62" s="11">
        <v>5.5599029700735624E-2</v>
      </c>
      <c r="O62" s="130">
        <v>462798</v>
      </c>
      <c r="P62" s="131">
        <v>2011</v>
      </c>
    </row>
    <row r="63" spans="1:16" s="148" customFormat="1" ht="14.4" x14ac:dyDescent="0.3">
      <c r="A63" s="6">
        <v>57</v>
      </c>
      <c r="B63" s="7" t="s">
        <v>5</v>
      </c>
      <c r="C63" s="8" t="s">
        <v>53</v>
      </c>
      <c r="D63" s="152">
        <v>3930</v>
      </c>
      <c r="E63" s="12">
        <v>45596</v>
      </c>
      <c r="F63" s="22">
        <v>132135.25</v>
      </c>
      <c r="G63" s="9">
        <v>528541</v>
      </c>
      <c r="H63" s="9">
        <v>513820</v>
      </c>
      <c r="I63" s="23">
        <v>9217285</v>
      </c>
      <c r="J63" s="23">
        <v>8585000</v>
      </c>
      <c r="K63" s="26" t="s">
        <v>7</v>
      </c>
      <c r="L63" s="28">
        <v>7175939</v>
      </c>
      <c r="M63" s="10">
        <v>0.77853066277108718</v>
      </c>
      <c r="N63" s="11">
        <v>5.7342373594827543E-2</v>
      </c>
      <c r="O63" s="130">
        <v>551263</v>
      </c>
      <c r="P63" s="131">
        <v>2011</v>
      </c>
    </row>
    <row r="64" spans="1:16" s="148" customFormat="1" ht="14.4" x14ac:dyDescent="0.3">
      <c r="A64" s="6">
        <v>58</v>
      </c>
      <c r="B64" s="7" t="s">
        <v>54</v>
      </c>
      <c r="C64" s="8" t="s">
        <v>13</v>
      </c>
      <c r="D64" s="152">
        <v>9290</v>
      </c>
      <c r="E64" s="12">
        <v>46326</v>
      </c>
      <c r="F64" s="22">
        <v>526854</v>
      </c>
      <c r="G64" s="9">
        <v>2107416</v>
      </c>
      <c r="H64" s="9">
        <v>1959268</v>
      </c>
      <c r="I64" s="23">
        <v>42936681</v>
      </c>
      <c r="J64" s="23">
        <v>48920000</v>
      </c>
      <c r="K64" s="26" t="s">
        <v>9</v>
      </c>
      <c r="L64" s="28">
        <v>29163263</v>
      </c>
      <c r="M64" s="10">
        <v>0.6792155872504444</v>
      </c>
      <c r="N64" s="11">
        <v>4.9081949301111559E-2</v>
      </c>
      <c r="O64" s="130">
        <v>3691261</v>
      </c>
      <c r="P64" s="131">
        <v>2011</v>
      </c>
    </row>
    <row r="65" spans="1:16" s="148" customFormat="1" ht="14.4" x14ac:dyDescent="0.3">
      <c r="A65" s="6">
        <v>59</v>
      </c>
      <c r="B65" s="7" t="s">
        <v>54</v>
      </c>
      <c r="C65" s="8" t="s">
        <v>16</v>
      </c>
      <c r="D65" s="152">
        <v>12807</v>
      </c>
      <c r="E65" s="12">
        <v>44135</v>
      </c>
      <c r="F65" s="22">
        <v>375892.75</v>
      </c>
      <c r="G65" s="9">
        <v>1503571</v>
      </c>
      <c r="H65" s="9">
        <v>1407607</v>
      </c>
      <c r="I65" s="23">
        <v>29930000</v>
      </c>
      <c r="J65" s="23">
        <v>31140000</v>
      </c>
      <c r="K65" s="26" t="s">
        <v>9</v>
      </c>
      <c r="L65" s="28">
        <v>21014704</v>
      </c>
      <c r="M65" s="10">
        <v>0.70212843301035754</v>
      </c>
      <c r="N65" s="11">
        <v>5.023625125292349E-2</v>
      </c>
      <c r="O65" s="130">
        <v>1743970</v>
      </c>
      <c r="P65" s="131">
        <v>2013</v>
      </c>
    </row>
    <row r="66" spans="1:16" s="148" customFormat="1" ht="14.4" x14ac:dyDescent="0.3">
      <c r="A66" s="6">
        <v>60</v>
      </c>
      <c r="B66" s="7" t="s">
        <v>54</v>
      </c>
      <c r="C66" s="8" t="s">
        <v>23</v>
      </c>
      <c r="D66" s="152">
        <v>27728</v>
      </c>
      <c r="E66" s="12">
        <v>47057</v>
      </c>
      <c r="F66" s="22">
        <v>870910</v>
      </c>
      <c r="G66" s="9">
        <v>3483640</v>
      </c>
      <c r="H66" s="9">
        <v>3334371</v>
      </c>
      <c r="I66" s="23">
        <v>62196720</v>
      </c>
      <c r="J66" s="23">
        <v>60800000</v>
      </c>
      <c r="K66" s="26" t="s">
        <v>7</v>
      </c>
      <c r="L66" s="28">
        <v>46371732</v>
      </c>
      <c r="M66" s="10">
        <v>0.74556555393917878</v>
      </c>
      <c r="N66" s="11">
        <v>5.601002753842968E-2</v>
      </c>
      <c r="O66" s="130">
        <v>4246228</v>
      </c>
      <c r="P66" s="131">
        <v>2012</v>
      </c>
    </row>
    <row r="67" spans="1:16" s="148" customFormat="1" ht="14.4" x14ac:dyDescent="0.3">
      <c r="A67" s="6">
        <v>61</v>
      </c>
      <c r="B67" s="7" t="s">
        <v>54</v>
      </c>
      <c r="C67" s="8" t="s">
        <v>33</v>
      </c>
      <c r="D67" s="152">
        <v>17677</v>
      </c>
      <c r="E67" s="12">
        <v>45961</v>
      </c>
      <c r="F67" s="22">
        <v>458694.75</v>
      </c>
      <c r="G67" s="9">
        <v>1834779</v>
      </c>
      <c r="H67" s="9">
        <v>1501903</v>
      </c>
      <c r="I67" s="23">
        <v>29706531</v>
      </c>
      <c r="J67" s="23">
        <v>23800000</v>
      </c>
      <c r="K67" s="26" t="s">
        <v>9</v>
      </c>
      <c r="L67" s="28">
        <v>21382308</v>
      </c>
      <c r="M67" s="10">
        <v>0.71978475036348066</v>
      </c>
      <c r="N67" s="11">
        <v>6.1763488978231758E-2</v>
      </c>
      <c r="O67" s="130">
        <v>1727564</v>
      </c>
      <c r="P67" s="131">
        <v>2012</v>
      </c>
    </row>
    <row r="68" spans="1:16" s="148" customFormat="1" ht="14.4" x14ac:dyDescent="0.3">
      <c r="A68" s="6">
        <v>62</v>
      </c>
      <c r="B68" s="7" t="s">
        <v>54</v>
      </c>
      <c r="C68" s="8" t="s">
        <v>42</v>
      </c>
      <c r="D68" s="152">
        <v>11547</v>
      </c>
      <c r="E68" s="12">
        <v>44500</v>
      </c>
      <c r="F68" s="22">
        <v>491957.5</v>
      </c>
      <c r="G68" s="9">
        <v>1967830</v>
      </c>
      <c r="H68" s="9">
        <v>1832615</v>
      </c>
      <c r="I68" s="23">
        <v>36340000</v>
      </c>
      <c r="J68" s="23">
        <v>40620000</v>
      </c>
      <c r="K68" s="26" t="s">
        <v>7</v>
      </c>
      <c r="L68" s="28">
        <v>27853673</v>
      </c>
      <c r="M68" s="10">
        <v>0.76647421574023111</v>
      </c>
      <c r="N68" s="11">
        <v>5.4150522839845901E-2</v>
      </c>
      <c r="O68" s="130">
        <v>1988630</v>
      </c>
      <c r="P68" s="131">
        <v>2013</v>
      </c>
    </row>
    <row r="69" spans="1:16" s="148" customFormat="1" ht="14.4" x14ac:dyDescent="0.3">
      <c r="A69" s="6">
        <v>63</v>
      </c>
      <c r="B69" s="7" t="s">
        <v>54</v>
      </c>
      <c r="C69" s="8" t="s">
        <v>43</v>
      </c>
      <c r="D69" s="152">
        <v>18639</v>
      </c>
      <c r="E69" s="12">
        <v>46691</v>
      </c>
      <c r="F69" s="22">
        <v>662593</v>
      </c>
      <c r="G69" s="9">
        <v>2650372</v>
      </c>
      <c r="H69" s="9">
        <v>2520297</v>
      </c>
      <c r="I69" s="23">
        <v>43850000</v>
      </c>
      <c r="J69" s="23">
        <v>42060000</v>
      </c>
      <c r="K69" s="26" t="s">
        <v>7</v>
      </c>
      <c r="L69" s="28">
        <v>26712569</v>
      </c>
      <c r="M69" s="10">
        <v>0.60918059293044469</v>
      </c>
      <c r="N69" s="11">
        <v>6.044177879133409E-2</v>
      </c>
      <c r="O69" s="130">
        <v>2325763</v>
      </c>
      <c r="P69" s="131">
        <v>2013</v>
      </c>
    </row>
    <row r="70" spans="1:16" s="148" customFormat="1" ht="14.4" x14ac:dyDescent="0.3">
      <c r="A70" s="6">
        <v>64</v>
      </c>
      <c r="B70" s="7" t="s">
        <v>54</v>
      </c>
      <c r="C70" s="8" t="s">
        <v>49</v>
      </c>
      <c r="D70" s="152">
        <v>29191</v>
      </c>
      <c r="E70" s="12">
        <v>47787</v>
      </c>
      <c r="F70" s="22">
        <v>941961.75</v>
      </c>
      <c r="G70" s="9">
        <v>3767847</v>
      </c>
      <c r="H70" s="9">
        <v>3251735</v>
      </c>
      <c r="I70" s="23">
        <v>59502828</v>
      </c>
      <c r="J70" s="23">
        <v>49740000</v>
      </c>
      <c r="K70" s="26" t="s">
        <v>7</v>
      </c>
      <c r="L70" s="28">
        <v>43951672</v>
      </c>
      <c r="M70" s="10">
        <v>0.73864845549861935</v>
      </c>
      <c r="N70" s="11">
        <v>6.3322149999324395E-2</v>
      </c>
      <c r="O70" s="130">
        <v>3581587</v>
      </c>
      <c r="P70" s="131">
        <v>2011</v>
      </c>
    </row>
    <row r="71" spans="1:16" s="148" customFormat="1" ht="14.4" x14ac:dyDescent="0.3">
      <c r="A71" s="6">
        <v>65</v>
      </c>
      <c r="B71" s="7" t="s">
        <v>55</v>
      </c>
      <c r="C71" s="8" t="s">
        <v>13</v>
      </c>
      <c r="D71" s="152">
        <v>28382</v>
      </c>
      <c r="E71" s="12">
        <v>47787</v>
      </c>
      <c r="F71" s="22">
        <v>1497873.75</v>
      </c>
      <c r="G71" s="9">
        <v>5991495</v>
      </c>
      <c r="H71" s="9">
        <v>5743725</v>
      </c>
      <c r="I71" s="23">
        <v>123672884</v>
      </c>
      <c r="J71" s="23">
        <v>125800000</v>
      </c>
      <c r="K71" s="26" t="s">
        <v>9</v>
      </c>
      <c r="L71" s="28">
        <v>84257936</v>
      </c>
      <c r="M71" s="10">
        <v>0.68129676671888717</v>
      </c>
      <c r="N71" s="11">
        <v>4.844631099570703E-2</v>
      </c>
      <c r="O71" s="130">
        <v>7323355</v>
      </c>
      <c r="P71" s="131">
        <v>2012</v>
      </c>
    </row>
    <row r="72" spans="1:16" s="148" customFormat="1" ht="14.4" x14ac:dyDescent="0.3">
      <c r="A72" s="6">
        <v>66</v>
      </c>
      <c r="B72" s="7" t="s">
        <v>55</v>
      </c>
      <c r="C72" s="8" t="s">
        <v>13</v>
      </c>
      <c r="D72" s="152">
        <v>15137</v>
      </c>
      <c r="E72" s="12">
        <v>47787</v>
      </c>
      <c r="F72" s="22">
        <v>798636.25</v>
      </c>
      <c r="G72" s="9">
        <v>3194545</v>
      </c>
      <c r="H72" s="9">
        <v>3102477</v>
      </c>
      <c r="I72" s="23">
        <v>62998573</v>
      </c>
      <c r="J72" s="23">
        <v>66000000</v>
      </c>
      <c r="K72" s="26" t="s">
        <v>9</v>
      </c>
      <c r="L72" s="28">
        <v>43193488</v>
      </c>
      <c r="M72" s="10">
        <v>0.68562645061817507</v>
      </c>
      <c r="N72" s="11">
        <v>5.0708212073311568E-2</v>
      </c>
      <c r="O72" s="130">
        <v>5815676</v>
      </c>
      <c r="P72" s="131">
        <v>2012</v>
      </c>
    </row>
    <row r="73" spans="1:16" s="148" customFormat="1" ht="14.4" x14ac:dyDescent="0.3">
      <c r="A73" s="6">
        <v>67</v>
      </c>
      <c r="B73" s="7" t="s">
        <v>56</v>
      </c>
      <c r="C73" s="8" t="s">
        <v>16</v>
      </c>
      <c r="D73" s="152">
        <v>12981</v>
      </c>
      <c r="E73" s="12">
        <v>47149</v>
      </c>
      <c r="F73" s="22">
        <v>543255.25</v>
      </c>
      <c r="G73" s="13">
        <v>2173021</v>
      </c>
      <c r="H73" s="13">
        <v>2104021</v>
      </c>
      <c r="I73" s="23">
        <v>38900000</v>
      </c>
      <c r="J73" s="23">
        <v>36330000</v>
      </c>
      <c r="K73" s="26" t="s">
        <v>7</v>
      </c>
      <c r="L73" s="28">
        <v>27455435</v>
      </c>
      <c r="M73" s="10">
        <v>0.70579524421593831</v>
      </c>
      <c r="N73" s="11">
        <v>5.5861722365038557E-2</v>
      </c>
      <c r="O73" s="130">
        <v>2133632</v>
      </c>
      <c r="P73" s="131">
        <v>2013</v>
      </c>
    </row>
    <row r="74" spans="1:16" s="148" customFormat="1" ht="14.4" x14ac:dyDescent="0.3">
      <c r="A74" s="6">
        <v>68</v>
      </c>
      <c r="B74" s="7" t="s">
        <v>55</v>
      </c>
      <c r="C74" s="8" t="s">
        <v>23</v>
      </c>
      <c r="D74" s="152">
        <v>1510</v>
      </c>
      <c r="E74" s="12">
        <v>46691</v>
      </c>
      <c r="F74" s="22">
        <v>63417.75</v>
      </c>
      <c r="G74" s="9">
        <v>253671</v>
      </c>
      <c r="H74" s="9">
        <v>249727</v>
      </c>
      <c r="I74" s="23">
        <v>4555625</v>
      </c>
      <c r="J74" s="23">
        <v>5805000</v>
      </c>
      <c r="K74" s="26" t="s">
        <v>14</v>
      </c>
      <c r="L74" s="28">
        <v>3323754</v>
      </c>
      <c r="M74" s="10">
        <v>0.72959341473453143</v>
      </c>
      <c r="N74" s="11">
        <v>5.5683029222115515E-2</v>
      </c>
      <c r="O74" s="130">
        <v>466525</v>
      </c>
      <c r="P74" s="131">
        <v>2011</v>
      </c>
    </row>
    <row r="75" spans="1:16" s="148" customFormat="1" ht="14.4" x14ac:dyDescent="0.3">
      <c r="A75" s="6">
        <v>69</v>
      </c>
      <c r="B75" s="7" t="s">
        <v>55</v>
      </c>
      <c r="C75" s="8" t="s">
        <v>23</v>
      </c>
      <c r="D75" s="152">
        <v>25162</v>
      </c>
      <c r="E75" s="12">
        <v>46691</v>
      </c>
      <c r="F75" s="22">
        <v>1103637.25</v>
      </c>
      <c r="G75" s="9">
        <v>4414549</v>
      </c>
      <c r="H75" s="9">
        <v>4259408</v>
      </c>
      <c r="I75" s="23">
        <v>86507931</v>
      </c>
      <c r="J75" s="23">
        <v>65520000</v>
      </c>
      <c r="K75" s="26" t="s">
        <v>9</v>
      </c>
      <c r="L75" s="28">
        <v>54650484</v>
      </c>
      <c r="M75" s="10">
        <v>0.63173958003919894</v>
      </c>
      <c r="N75" s="11">
        <v>5.1030569671120678E-2</v>
      </c>
      <c r="O75" s="130">
        <v>3978563</v>
      </c>
      <c r="P75" s="131">
        <v>2011</v>
      </c>
    </row>
    <row r="76" spans="1:16" s="148" customFormat="1" ht="14.4" x14ac:dyDescent="0.3">
      <c r="A76" s="6">
        <v>70</v>
      </c>
      <c r="B76" s="7" t="s">
        <v>55</v>
      </c>
      <c r="C76" s="8" t="s">
        <v>57</v>
      </c>
      <c r="D76" s="152">
        <v>19074</v>
      </c>
      <c r="E76" s="12">
        <v>44135</v>
      </c>
      <c r="F76" s="22">
        <v>694195</v>
      </c>
      <c r="G76" s="9">
        <v>2776780</v>
      </c>
      <c r="H76" s="9">
        <v>2620072</v>
      </c>
      <c r="I76" s="23">
        <v>48170419</v>
      </c>
      <c r="J76" s="23">
        <v>47000000</v>
      </c>
      <c r="K76" s="26" t="s">
        <v>7</v>
      </c>
      <c r="L76" s="28">
        <v>37158653</v>
      </c>
      <c r="M76" s="10">
        <v>0.77139982942643703</v>
      </c>
      <c r="N76" s="11">
        <v>5.7644921045839355E-2</v>
      </c>
      <c r="O76" s="130">
        <v>2958300</v>
      </c>
      <c r="P76" s="131">
        <v>2012</v>
      </c>
    </row>
    <row r="77" spans="1:16" s="148" customFormat="1" ht="14.4" x14ac:dyDescent="0.3">
      <c r="A77" s="6">
        <v>71</v>
      </c>
      <c r="B77" s="7" t="s">
        <v>55</v>
      </c>
      <c r="C77" s="8" t="s">
        <v>46</v>
      </c>
      <c r="D77" s="152">
        <v>14279</v>
      </c>
      <c r="E77" s="12">
        <v>47057</v>
      </c>
      <c r="F77" s="22">
        <v>423330.75</v>
      </c>
      <c r="G77" s="9">
        <v>1693323</v>
      </c>
      <c r="H77" s="9">
        <v>1499832</v>
      </c>
      <c r="I77" s="23">
        <v>29015000</v>
      </c>
      <c r="J77" s="23">
        <v>44700000</v>
      </c>
      <c r="K77" s="26" t="s">
        <v>14</v>
      </c>
      <c r="L77" s="28">
        <v>22837408</v>
      </c>
      <c r="M77" s="10">
        <v>0.78708971221781832</v>
      </c>
      <c r="N77" s="11">
        <v>5.8360261933482684E-2</v>
      </c>
      <c r="O77" s="130">
        <v>2368455</v>
      </c>
      <c r="P77" s="131">
        <v>2013</v>
      </c>
    </row>
    <row r="78" spans="1:16" s="148" customFormat="1" ht="14.4" x14ac:dyDescent="0.3">
      <c r="A78" s="6">
        <v>72</v>
      </c>
      <c r="B78" s="7" t="s">
        <v>55</v>
      </c>
      <c r="C78" s="8" t="s">
        <v>46</v>
      </c>
      <c r="D78" s="152">
        <v>29229</v>
      </c>
      <c r="E78" s="12">
        <v>47057</v>
      </c>
      <c r="F78" s="22">
        <v>1370355.75</v>
      </c>
      <c r="G78" s="9">
        <v>5481423</v>
      </c>
      <c r="H78" s="9">
        <v>5271428</v>
      </c>
      <c r="I78" s="23">
        <v>107740000</v>
      </c>
      <c r="J78" s="23">
        <v>105810000</v>
      </c>
      <c r="K78" s="26" t="s">
        <v>14</v>
      </c>
      <c r="L78" s="28">
        <v>76852244</v>
      </c>
      <c r="M78" s="10">
        <v>0.71331208464822726</v>
      </c>
      <c r="N78" s="11">
        <v>5.0876396881381104E-2</v>
      </c>
      <c r="O78" s="130">
        <v>5208008</v>
      </c>
      <c r="P78" s="131">
        <v>2013</v>
      </c>
    </row>
    <row r="79" spans="1:16" s="148" customFormat="1" ht="14.4" x14ac:dyDescent="0.3">
      <c r="A79" s="6">
        <v>73</v>
      </c>
      <c r="B79" s="7" t="s">
        <v>55</v>
      </c>
      <c r="C79" s="8" t="s">
        <v>42</v>
      </c>
      <c r="D79" s="152">
        <v>9443</v>
      </c>
      <c r="E79" s="12">
        <v>44500</v>
      </c>
      <c r="F79" s="22">
        <v>528485.25</v>
      </c>
      <c r="G79" s="9">
        <v>2113941</v>
      </c>
      <c r="H79" s="9">
        <v>2033923</v>
      </c>
      <c r="I79" s="23">
        <v>38336557</v>
      </c>
      <c r="J79" s="23">
        <v>33525000</v>
      </c>
      <c r="K79" s="26" t="s">
        <v>7</v>
      </c>
      <c r="L79" s="28">
        <v>30243100</v>
      </c>
      <c r="M79" s="10">
        <v>0.78888409306031315</v>
      </c>
      <c r="N79" s="11">
        <v>5.5141649783521249E-2</v>
      </c>
      <c r="O79" s="130">
        <v>2008642</v>
      </c>
      <c r="P79" s="131">
        <v>2011</v>
      </c>
    </row>
    <row r="80" spans="1:16" s="169" customFormat="1" ht="15.6" customHeight="1" x14ac:dyDescent="0.3">
      <c r="A80" s="156">
        <v>74</v>
      </c>
      <c r="B80" s="157" t="s">
        <v>58</v>
      </c>
      <c r="C80" s="157" t="s">
        <v>59</v>
      </c>
      <c r="D80" s="158">
        <v>357</v>
      </c>
      <c r="E80" s="159">
        <v>44269</v>
      </c>
      <c r="F80" s="160">
        <v>60190.5</v>
      </c>
      <c r="G80" s="161">
        <v>240762</v>
      </c>
      <c r="H80" s="161">
        <v>232971</v>
      </c>
      <c r="I80" s="162">
        <v>2559610</v>
      </c>
      <c r="J80" s="162">
        <v>3385000</v>
      </c>
      <c r="K80" s="163" t="s">
        <v>60</v>
      </c>
      <c r="L80" s="164">
        <v>0</v>
      </c>
      <c r="M80" s="165">
        <v>0</v>
      </c>
      <c r="N80" s="166">
        <v>9.4061986005680553E-2</v>
      </c>
      <c r="O80" s="167">
        <v>310640</v>
      </c>
      <c r="P80" s="168">
        <v>2011</v>
      </c>
    </row>
    <row r="81" spans="1:16" s="148" customFormat="1" ht="13.8" x14ac:dyDescent="0.25">
      <c r="A81" s="8"/>
      <c r="B81" s="8"/>
      <c r="C81" s="8"/>
      <c r="D81" s="27"/>
      <c r="E81" s="8"/>
      <c r="F81" s="18"/>
      <c r="G81" s="8"/>
      <c r="H81" s="8"/>
      <c r="I81" s="8"/>
      <c r="J81" s="8"/>
      <c r="K81" s="27"/>
      <c r="L81" s="27"/>
      <c r="M81" s="8"/>
      <c r="N81" s="8"/>
      <c r="O81" s="31"/>
      <c r="P81" s="31"/>
    </row>
    <row r="82" spans="1:16" s="148" customFormat="1" x14ac:dyDescent="0.2">
      <c r="A82" s="14"/>
      <c r="B82" s="14" t="s">
        <v>61</v>
      </c>
      <c r="C82" s="14"/>
      <c r="D82" s="132">
        <v>468058</v>
      </c>
      <c r="E82" s="16">
        <v>46267.433176884377</v>
      </c>
      <c r="F82" s="19">
        <v>19985326</v>
      </c>
      <c r="G82" s="19">
        <v>79941304</v>
      </c>
      <c r="H82" s="19">
        <v>75493861</v>
      </c>
      <c r="I82" s="19">
        <v>1454081082</v>
      </c>
      <c r="J82" s="19">
        <v>1362750000</v>
      </c>
      <c r="K82" s="19"/>
      <c r="L82" s="19">
        <v>1050000000</v>
      </c>
      <c r="M82" s="15">
        <v>0.72210553661546095</v>
      </c>
      <c r="N82" s="15">
        <v>5.4977198307294944E-2</v>
      </c>
      <c r="O82" s="132">
        <v>86244914</v>
      </c>
      <c r="P82" s="132"/>
    </row>
    <row r="83" spans="1:16" s="148" customFormat="1" ht="13.8" x14ac:dyDescent="0.25">
      <c r="A83" s="32"/>
      <c r="B83" s="32"/>
      <c r="C83" s="32"/>
      <c r="D83" s="153"/>
      <c r="E83" s="30"/>
      <c r="F83" s="33"/>
      <c r="G83" s="32"/>
      <c r="H83" s="34"/>
      <c r="I83" s="33"/>
      <c r="J83" s="33"/>
      <c r="K83" s="33"/>
      <c r="L83" s="33"/>
      <c r="M83" s="35"/>
      <c r="N83" s="36"/>
      <c r="O83" s="31"/>
      <c r="P83" s="31"/>
    </row>
    <row r="84" spans="1:16" s="148" customFormat="1" x14ac:dyDescent="0.2">
      <c r="A84" s="2" t="s">
        <v>66</v>
      </c>
      <c r="B84" s="3"/>
      <c r="C84" s="3"/>
      <c r="D84" s="25"/>
      <c r="E84" s="3"/>
      <c r="F84" s="17"/>
      <c r="G84" s="3"/>
      <c r="H84" s="3"/>
      <c r="I84" s="3"/>
      <c r="J84" s="3"/>
      <c r="K84" s="25"/>
      <c r="L84" s="25"/>
      <c r="M84" s="3"/>
      <c r="N84" s="3"/>
      <c r="O84" s="133"/>
      <c r="P84" s="133"/>
    </row>
    <row r="85" spans="1:16" s="148" customFormat="1" ht="25.2" x14ac:dyDescent="0.2">
      <c r="A85" s="4"/>
      <c r="B85" s="5" t="s">
        <v>0</v>
      </c>
      <c r="C85" s="5" t="s">
        <v>1</v>
      </c>
      <c r="D85" s="20" t="s">
        <v>68</v>
      </c>
      <c r="E85" s="21" t="s">
        <v>63</v>
      </c>
      <c r="F85" s="21" t="s">
        <v>2</v>
      </c>
      <c r="G85" s="21" t="s">
        <v>71</v>
      </c>
      <c r="H85" s="29" t="s">
        <v>3</v>
      </c>
      <c r="I85" s="21" t="s">
        <v>70</v>
      </c>
      <c r="J85" s="21" t="s">
        <v>174</v>
      </c>
      <c r="K85" s="24" t="s">
        <v>65</v>
      </c>
      <c r="L85" s="24" t="s">
        <v>64</v>
      </c>
      <c r="M85" s="21" t="s">
        <v>4</v>
      </c>
      <c r="N85" s="21" t="s">
        <v>72</v>
      </c>
      <c r="O85" s="129" t="s">
        <v>175</v>
      </c>
      <c r="P85" s="129" t="s">
        <v>179</v>
      </c>
    </row>
    <row r="86" spans="1:16" s="148" customFormat="1" ht="14.4" x14ac:dyDescent="0.3">
      <c r="A86" s="6">
        <v>1</v>
      </c>
      <c r="B86" s="7" t="s">
        <v>5</v>
      </c>
      <c r="C86" s="8" t="s">
        <v>6</v>
      </c>
      <c r="D86" s="152">
        <v>2997</v>
      </c>
      <c r="E86" s="12">
        <v>47057</v>
      </c>
      <c r="F86" s="22">
        <v>129873</v>
      </c>
      <c r="G86" s="9">
        <v>519492</v>
      </c>
      <c r="H86" s="9">
        <v>438060</v>
      </c>
      <c r="I86" s="23">
        <v>9000000</v>
      </c>
      <c r="J86" s="23">
        <v>8380000</v>
      </c>
      <c r="K86" s="26" t="s">
        <v>7</v>
      </c>
      <c r="L86" s="28">
        <v>6662825</v>
      </c>
      <c r="M86" s="10">
        <v>0.74031388888888894</v>
      </c>
      <c r="N86" s="11">
        <v>5.7721333333333333E-2</v>
      </c>
      <c r="O86" s="130">
        <v>515549</v>
      </c>
      <c r="P86" s="131">
        <v>2013</v>
      </c>
    </row>
    <row r="87" spans="1:16" s="148" customFormat="1" ht="14.4" x14ac:dyDescent="0.3">
      <c r="A87" s="6">
        <v>2</v>
      </c>
      <c r="B87" s="7" t="s">
        <v>5</v>
      </c>
      <c r="C87" s="8" t="s">
        <v>8</v>
      </c>
      <c r="D87" s="152">
        <v>2716</v>
      </c>
      <c r="E87" s="12">
        <v>44865</v>
      </c>
      <c r="F87" s="22">
        <v>62946.75</v>
      </c>
      <c r="G87" s="9">
        <v>251787</v>
      </c>
      <c r="H87" s="9">
        <v>234553</v>
      </c>
      <c r="I87" s="23">
        <v>3584426</v>
      </c>
      <c r="J87" s="23">
        <v>2820000</v>
      </c>
      <c r="K87" s="26" t="s">
        <v>9</v>
      </c>
      <c r="L87" s="28">
        <v>2787665</v>
      </c>
      <c r="M87" s="10">
        <v>0.77771587417343813</v>
      </c>
      <c r="N87" s="11">
        <v>7.0244719796140304E-2</v>
      </c>
      <c r="O87" s="130">
        <v>198032</v>
      </c>
      <c r="P87" s="131">
        <v>2011</v>
      </c>
    </row>
    <row r="88" spans="1:16" s="148" customFormat="1" ht="14.4" x14ac:dyDescent="0.3">
      <c r="A88" s="6">
        <v>3</v>
      </c>
      <c r="B88" s="7" t="s">
        <v>5</v>
      </c>
      <c r="C88" s="8" t="s">
        <v>10</v>
      </c>
      <c r="D88" s="152">
        <v>2675</v>
      </c>
      <c r="E88" s="12">
        <v>45230</v>
      </c>
      <c r="F88" s="22">
        <v>133305.75</v>
      </c>
      <c r="G88" s="9">
        <v>533223</v>
      </c>
      <c r="H88" s="9">
        <v>523819</v>
      </c>
      <c r="I88" s="23">
        <v>8516597</v>
      </c>
      <c r="J88" s="23">
        <v>6750000</v>
      </c>
      <c r="K88" s="26" t="s">
        <v>9</v>
      </c>
      <c r="L88" s="28">
        <v>6731751</v>
      </c>
      <c r="M88" s="10">
        <v>0.79042732678322103</v>
      </c>
      <c r="N88" s="11">
        <v>6.2609866358593697E-2</v>
      </c>
      <c r="O88" s="130">
        <v>531596</v>
      </c>
      <c r="P88" s="131">
        <v>2012</v>
      </c>
    </row>
    <row r="89" spans="1:16" s="148" customFormat="1" ht="14.4" x14ac:dyDescent="0.3">
      <c r="A89" s="6">
        <v>8</v>
      </c>
      <c r="B89" s="7" t="s">
        <v>5</v>
      </c>
      <c r="C89" s="8" t="s">
        <v>13</v>
      </c>
      <c r="D89" s="152">
        <v>2601</v>
      </c>
      <c r="E89" s="12">
        <v>46326</v>
      </c>
      <c r="F89" s="22">
        <v>105400</v>
      </c>
      <c r="G89" s="9">
        <v>421600</v>
      </c>
      <c r="H89" s="9">
        <v>404439</v>
      </c>
      <c r="I89" s="23">
        <v>7010501</v>
      </c>
      <c r="J89" s="23">
        <v>4915000</v>
      </c>
      <c r="K89" s="26" t="s">
        <v>14</v>
      </c>
      <c r="L89" s="28">
        <v>4265740</v>
      </c>
      <c r="M89" s="10">
        <v>0.60847862371034533</v>
      </c>
      <c r="N89" s="11">
        <v>6.013835530442118E-2</v>
      </c>
      <c r="O89" s="130">
        <v>400409</v>
      </c>
      <c r="P89" s="131">
        <v>2011</v>
      </c>
    </row>
    <row r="90" spans="1:16" s="148" customFormat="1" ht="14.4" x14ac:dyDescent="0.3">
      <c r="A90" s="6">
        <v>9</v>
      </c>
      <c r="B90" s="7" t="s">
        <v>5</v>
      </c>
      <c r="C90" s="8" t="s">
        <v>13</v>
      </c>
      <c r="D90" s="152">
        <v>1957</v>
      </c>
      <c r="E90" s="12">
        <v>45961</v>
      </c>
      <c r="F90" s="22">
        <v>106495.5</v>
      </c>
      <c r="G90" s="9">
        <v>425982</v>
      </c>
      <c r="H90" s="9">
        <v>385444</v>
      </c>
      <c r="I90" s="23">
        <v>6834891</v>
      </c>
      <c r="J90" s="23">
        <v>5000000</v>
      </c>
      <c r="K90" s="26" t="s">
        <v>9</v>
      </c>
      <c r="L90" s="28">
        <v>4977973</v>
      </c>
      <c r="M90" s="10">
        <v>0.72831783272037554</v>
      </c>
      <c r="N90" s="11">
        <v>6.2324622294634986E-2</v>
      </c>
      <c r="O90" s="130">
        <v>423589</v>
      </c>
      <c r="P90" s="131">
        <v>2012</v>
      </c>
    </row>
    <row r="91" spans="1:16" s="148" customFormat="1" ht="14.4" x14ac:dyDescent="0.3">
      <c r="A91" s="6">
        <v>12</v>
      </c>
      <c r="B91" s="7" t="s">
        <v>5</v>
      </c>
      <c r="C91" s="8" t="s">
        <v>15</v>
      </c>
      <c r="D91" s="152">
        <v>4719</v>
      </c>
      <c r="E91" s="12">
        <v>46326</v>
      </c>
      <c r="F91" s="22">
        <v>183111.75</v>
      </c>
      <c r="G91" s="9">
        <v>732447</v>
      </c>
      <c r="H91" s="9">
        <v>704106</v>
      </c>
      <c r="I91" s="23">
        <v>13233496</v>
      </c>
      <c r="J91" s="23">
        <v>10800000</v>
      </c>
      <c r="K91" s="26" t="s">
        <v>7</v>
      </c>
      <c r="L91" s="28">
        <v>10216332</v>
      </c>
      <c r="M91" s="10">
        <v>0.77200552295478075</v>
      </c>
      <c r="N91" s="11">
        <v>5.5347959450775516E-2</v>
      </c>
      <c r="O91" s="130">
        <v>767351</v>
      </c>
      <c r="P91" s="131">
        <v>2012</v>
      </c>
    </row>
    <row r="92" spans="1:16" s="148" customFormat="1" ht="14.4" x14ac:dyDescent="0.3">
      <c r="A92" s="6">
        <v>14</v>
      </c>
      <c r="B92" s="7" t="s">
        <v>5</v>
      </c>
      <c r="C92" s="8" t="s">
        <v>17</v>
      </c>
      <c r="D92" s="152">
        <v>3066</v>
      </c>
      <c r="E92" s="12">
        <v>46691</v>
      </c>
      <c r="F92" s="22">
        <v>141442.25</v>
      </c>
      <c r="G92" s="9">
        <v>565769</v>
      </c>
      <c r="H92" s="9">
        <v>546009</v>
      </c>
      <c r="I92" s="23">
        <v>10118028</v>
      </c>
      <c r="J92" s="23">
        <v>8410000</v>
      </c>
      <c r="K92" s="26" t="s">
        <v>9</v>
      </c>
      <c r="L92" s="28">
        <v>7505251</v>
      </c>
      <c r="M92" s="10">
        <v>0.74177013544536541</v>
      </c>
      <c r="N92" s="11">
        <v>5.5916923732569235E-2</v>
      </c>
      <c r="O92" s="130">
        <v>556698</v>
      </c>
      <c r="P92" s="131">
        <v>2011</v>
      </c>
    </row>
    <row r="93" spans="1:16" s="148" customFormat="1" ht="14.4" x14ac:dyDescent="0.3">
      <c r="A93" s="6">
        <v>20</v>
      </c>
      <c r="B93" s="7" t="s">
        <v>5</v>
      </c>
      <c r="C93" s="8" t="s">
        <v>23</v>
      </c>
      <c r="D93" s="152">
        <v>1934</v>
      </c>
      <c r="E93" s="12">
        <v>42308</v>
      </c>
      <c r="F93" s="22">
        <v>76978.5</v>
      </c>
      <c r="G93" s="9">
        <v>307914</v>
      </c>
      <c r="H93" s="9">
        <v>285419</v>
      </c>
      <c r="I93" s="23">
        <v>4244102</v>
      </c>
      <c r="J93" s="23">
        <v>3975000</v>
      </c>
      <c r="K93" s="26" t="s">
        <v>7</v>
      </c>
      <c r="L93" s="28">
        <v>3653066</v>
      </c>
      <c r="M93" s="10">
        <v>0.8607394449992013</v>
      </c>
      <c r="N93" s="11">
        <v>7.2551036709296801E-2</v>
      </c>
      <c r="O93" s="130">
        <v>287403</v>
      </c>
      <c r="P93" s="131">
        <v>2011</v>
      </c>
    </row>
    <row r="94" spans="1:16" s="148" customFormat="1" ht="14.4" x14ac:dyDescent="0.3">
      <c r="A94" s="6">
        <v>24</v>
      </c>
      <c r="B94" s="7" t="s">
        <v>5</v>
      </c>
      <c r="C94" s="8" t="s">
        <v>26</v>
      </c>
      <c r="D94" s="152">
        <v>2865</v>
      </c>
      <c r="E94" s="12">
        <v>45596</v>
      </c>
      <c r="F94" s="22">
        <v>93629.75</v>
      </c>
      <c r="G94" s="9">
        <v>374519</v>
      </c>
      <c r="H94" s="9">
        <v>362602</v>
      </c>
      <c r="I94" s="23">
        <v>6324931</v>
      </c>
      <c r="J94" s="23">
        <v>5000000</v>
      </c>
      <c r="K94" s="26" t="s">
        <v>7</v>
      </c>
      <c r="L94" s="28">
        <v>5000948</v>
      </c>
      <c r="M94" s="10">
        <v>0.79067234093146632</v>
      </c>
      <c r="N94" s="11">
        <v>5.9213136080061582E-2</v>
      </c>
      <c r="O94" s="130">
        <v>411581</v>
      </c>
      <c r="P94" s="131">
        <v>2012</v>
      </c>
    </row>
    <row r="95" spans="1:16" s="148" customFormat="1" ht="14.4" x14ac:dyDescent="0.3">
      <c r="A95" s="6">
        <v>27</v>
      </c>
      <c r="B95" s="7" t="s">
        <v>5</v>
      </c>
      <c r="C95" s="8" t="s">
        <v>29</v>
      </c>
      <c r="D95" s="152">
        <v>3208</v>
      </c>
      <c r="E95" s="12">
        <v>46691</v>
      </c>
      <c r="F95" s="22">
        <v>188884</v>
      </c>
      <c r="G95" s="9">
        <v>755536</v>
      </c>
      <c r="H95" s="9">
        <v>736914</v>
      </c>
      <c r="I95" s="23">
        <v>13683653</v>
      </c>
      <c r="J95" s="23">
        <v>10000000</v>
      </c>
      <c r="K95" s="26" t="s">
        <v>7</v>
      </c>
      <c r="L95" s="28">
        <v>10530327</v>
      </c>
      <c r="M95" s="10">
        <v>0.76955524961061206</v>
      </c>
      <c r="N95" s="11">
        <v>5.5214495719819845E-2</v>
      </c>
      <c r="O95" s="130">
        <v>759809</v>
      </c>
      <c r="P95" s="131">
        <v>2012</v>
      </c>
    </row>
    <row r="96" spans="1:16" s="148" customFormat="1" ht="14.4" x14ac:dyDescent="0.3">
      <c r="A96" s="6">
        <v>36</v>
      </c>
      <c r="B96" s="7" t="s">
        <v>5</v>
      </c>
      <c r="C96" s="8" t="s">
        <v>36</v>
      </c>
      <c r="D96" s="152">
        <v>3394</v>
      </c>
      <c r="E96" s="12">
        <v>45961</v>
      </c>
      <c r="F96" s="22">
        <v>123130</v>
      </c>
      <c r="G96" s="9">
        <v>492520</v>
      </c>
      <c r="H96" s="9">
        <v>467834</v>
      </c>
      <c r="I96" s="23">
        <v>8197508</v>
      </c>
      <c r="J96" s="23">
        <v>6850000</v>
      </c>
      <c r="K96" s="26" t="s">
        <v>7</v>
      </c>
      <c r="L96" s="28">
        <v>6678142</v>
      </c>
      <c r="M96" s="10">
        <v>0.81465513665860401</v>
      </c>
      <c r="N96" s="11">
        <v>6.008167360129444E-2</v>
      </c>
      <c r="O96" s="130">
        <v>490924</v>
      </c>
      <c r="P96" s="131">
        <v>2012</v>
      </c>
    </row>
    <row r="97" spans="1:16" s="148" customFormat="1" ht="14.4" x14ac:dyDescent="0.3">
      <c r="A97" s="6">
        <v>39</v>
      </c>
      <c r="B97" s="7" t="s">
        <v>5</v>
      </c>
      <c r="C97" s="8" t="s">
        <v>39</v>
      </c>
      <c r="D97" s="152">
        <v>2418</v>
      </c>
      <c r="E97" s="12">
        <v>46326</v>
      </c>
      <c r="F97" s="22">
        <v>106233.25</v>
      </c>
      <c r="G97" s="9">
        <v>424933</v>
      </c>
      <c r="H97" s="9">
        <v>402501</v>
      </c>
      <c r="I97" s="23">
        <v>7765111</v>
      </c>
      <c r="J97" s="23">
        <v>5850000</v>
      </c>
      <c r="K97" s="26" t="s">
        <v>7</v>
      </c>
      <c r="L97" s="28">
        <v>5514062</v>
      </c>
      <c r="M97" s="10">
        <v>0.71010729917447413</v>
      </c>
      <c r="N97" s="11">
        <v>5.4723364546881557E-2</v>
      </c>
      <c r="O97" s="130">
        <v>429497</v>
      </c>
      <c r="P97" s="131">
        <v>2012</v>
      </c>
    </row>
    <row r="98" spans="1:16" s="148" customFormat="1" ht="14.4" x14ac:dyDescent="0.3">
      <c r="A98" s="6">
        <v>45</v>
      </c>
      <c r="B98" s="7" t="s">
        <v>5</v>
      </c>
      <c r="C98" s="8" t="s">
        <v>44</v>
      </c>
      <c r="D98" s="152">
        <v>2097</v>
      </c>
      <c r="E98" s="12">
        <v>45961</v>
      </c>
      <c r="F98" s="22">
        <v>107242.75</v>
      </c>
      <c r="G98" s="9">
        <v>428971</v>
      </c>
      <c r="H98" s="9">
        <v>383263</v>
      </c>
      <c r="I98" s="23">
        <v>6754945</v>
      </c>
      <c r="J98" s="23">
        <v>5000000</v>
      </c>
      <c r="K98" s="26" t="s">
        <v>9</v>
      </c>
      <c r="L98" s="28">
        <v>5215384</v>
      </c>
      <c r="M98" s="10">
        <v>0.77208385856583583</v>
      </c>
      <c r="N98" s="11">
        <v>6.3504736159953931E-2</v>
      </c>
      <c r="O98" s="130">
        <v>416963</v>
      </c>
      <c r="P98" s="131">
        <v>2012</v>
      </c>
    </row>
    <row r="99" spans="1:16" s="148" customFormat="1" ht="14.4" x14ac:dyDescent="0.3">
      <c r="A99" s="6">
        <v>48</v>
      </c>
      <c r="B99" s="7" t="s">
        <v>5</v>
      </c>
      <c r="C99" s="8" t="s">
        <v>46</v>
      </c>
      <c r="D99" s="152">
        <v>3553</v>
      </c>
      <c r="E99" s="12">
        <v>44500</v>
      </c>
      <c r="F99" s="22">
        <v>207551.5</v>
      </c>
      <c r="G99" s="9">
        <v>830206</v>
      </c>
      <c r="H99" s="9">
        <v>786680</v>
      </c>
      <c r="I99" s="23">
        <v>14700000</v>
      </c>
      <c r="J99" s="23">
        <v>14730000</v>
      </c>
      <c r="K99" s="26" t="s">
        <v>7</v>
      </c>
      <c r="L99" s="28">
        <v>11893526</v>
      </c>
      <c r="M99" s="10">
        <v>0.80908340136054424</v>
      </c>
      <c r="N99" s="11">
        <v>5.6476598639455783E-2</v>
      </c>
      <c r="O99" s="130">
        <v>851654</v>
      </c>
      <c r="P99" s="131">
        <v>2013</v>
      </c>
    </row>
    <row r="100" spans="1:16" s="148" customFormat="1" ht="14.4" x14ac:dyDescent="0.3">
      <c r="A100" s="6">
        <v>54</v>
      </c>
      <c r="B100" s="7" t="s">
        <v>5</v>
      </c>
      <c r="C100" s="8" t="s">
        <v>50</v>
      </c>
      <c r="D100" s="152">
        <v>3156</v>
      </c>
      <c r="E100" s="12">
        <v>44865</v>
      </c>
      <c r="F100" s="22">
        <v>87276.75</v>
      </c>
      <c r="G100" s="9">
        <v>349107</v>
      </c>
      <c r="H100" s="9">
        <v>338409</v>
      </c>
      <c r="I100" s="23">
        <v>5461127</v>
      </c>
      <c r="J100" s="23">
        <v>4400000</v>
      </c>
      <c r="K100" s="26" t="s">
        <v>9</v>
      </c>
      <c r="L100" s="28">
        <v>4058963</v>
      </c>
      <c r="M100" s="10">
        <v>0.74324640316916268</v>
      </c>
      <c r="N100" s="11">
        <v>6.3925816044929917E-2</v>
      </c>
      <c r="O100" s="130">
        <v>340277</v>
      </c>
      <c r="P100" s="131">
        <v>2012</v>
      </c>
    </row>
    <row r="101" spans="1:16" s="148" customFormat="1" ht="14.4" x14ac:dyDescent="0.3">
      <c r="A101" s="6">
        <v>59</v>
      </c>
      <c r="B101" s="7" t="s">
        <v>54</v>
      </c>
      <c r="C101" s="8" t="s">
        <v>16</v>
      </c>
      <c r="D101" s="152">
        <v>12807</v>
      </c>
      <c r="E101" s="12">
        <v>44135</v>
      </c>
      <c r="F101" s="22">
        <v>375892.75</v>
      </c>
      <c r="G101" s="9">
        <v>1503571</v>
      </c>
      <c r="H101" s="9">
        <v>1407607</v>
      </c>
      <c r="I101" s="23">
        <v>29930000</v>
      </c>
      <c r="J101" s="23">
        <v>31140000</v>
      </c>
      <c r="K101" s="26" t="s">
        <v>9</v>
      </c>
      <c r="L101" s="28">
        <v>21014704</v>
      </c>
      <c r="M101" s="10">
        <v>0.70212843301035754</v>
      </c>
      <c r="N101" s="11">
        <v>5.023625125292349E-2</v>
      </c>
      <c r="O101" s="130">
        <v>1743970</v>
      </c>
      <c r="P101" s="131">
        <v>2013</v>
      </c>
    </row>
    <row r="102" spans="1:16" s="148" customFormat="1" ht="14.4" x14ac:dyDescent="0.3">
      <c r="A102" s="6">
        <v>64</v>
      </c>
      <c r="B102" s="7" t="s">
        <v>54</v>
      </c>
      <c r="C102" s="8" t="s">
        <v>49</v>
      </c>
      <c r="D102" s="152">
        <v>29191</v>
      </c>
      <c r="E102" s="12">
        <v>47787</v>
      </c>
      <c r="F102" s="22">
        <v>941961.75</v>
      </c>
      <c r="G102" s="9">
        <v>3767847</v>
      </c>
      <c r="H102" s="9">
        <v>3251735</v>
      </c>
      <c r="I102" s="23">
        <v>59502828</v>
      </c>
      <c r="J102" s="23">
        <v>49740000</v>
      </c>
      <c r="K102" s="26" t="s">
        <v>7</v>
      </c>
      <c r="L102" s="28">
        <v>43951672</v>
      </c>
      <c r="M102" s="10">
        <v>0.73864845549861935</v>
      </c>
      <c r="N102" s="11">
        <v>6.3322149999324395E-2</v>
      </c>
      <c r="O102" s="130">
        <v>3581587</v>
      </c>
      <c r="P102" s="131">
        <v>2011</v>
      </c>
    </row>
    <row r="103" spans="1:16" s="148" customFormat="1" ht="14.4" x14ac:dyDescent="0.3">
      <c r="A103" s="6">
        <v>68</v>
      </c>
      <c r="B103" s="7" t="s">
        <v>55</v>
      </c>
      <c r="C103" s="8" t="s">
        <v>23</v>
      </c>
      <c r="D103" s="152">
        <v>1510</v>
      </c>
      <c r="E103" s="12">
        <v>46691</v>
      </c>
      <c r="F103" s="22">
        <v>63417.75</v>
      </c>
      <c r="G103" s="9">
        <v>253671</v>
      </c>
      <c r="H103" s="9">
        <v>249727</v>
      </c>
      <c r="I103" s="23">
        <v>4555625</v>
      </c>
      <c r="J103" s="23">
        <v>5805000</v>
      </c>
      <c r="K103" s="26" t="s">
        <v>14</v>
      </c>
      <c r="L103" s="28">
        <v>3323754</v>
      </c>
      <c r="M103" s="10">
        <v>0.72959341473453143</v>
      </c>
      <c r="N103" s="11">
        <v>5.5683029222115515E-2</v>
      </c>
      <c r="O103" s="130">
        <v>466525</v>
      </c>
      <c r="P103" s="131">
        <v>2011</v>
      </c>
    </row>
    <row r="104" spans="1:16" s="148" customFormat="1" ht="14.4" x14ac:dyDescent="0.3">
      <c r="A104" s="6">
        <v>69</v>
      </c>
      <c r="B104" s="7" t="s">
        <v>55</v>
      </c>
      <c r="C104" s="8" t="s">
        <v>23</v>
      </c>
      <c r="D104" s="152">
        <v>25162</v>
      </c>
      <c r="E104" s="12">
        <v>46691</v>
      </c>
      <c r="F104" s="22">
        <v>1103637.25</v>
      </c>
      <c r="G104" s="9">
        <v>4414549</v>
      </c>
      <c r="H104" s="9">
        <v>4259408</v>
      </c>
      <c r="I104" s="23">
        <v>86507931</v>
      </c>
      <c r="J104" s="23">
        <v>65520000</v>
      </c>
      <c r="K104" s="26" t="s">
        <v>9</v>
      </c>
      <c r="L104" s="28">
        <v>54650484</v>
      </c>
      <c r="M104" s="10">
        <v>0.63173958003919894</v>
      </c>
      <c r="N104" s="11">
        <v>5.1030569671120678E-2</v>
      </c>
      <c r="O104" s="130">
        <v>3978563</v>
      </c>
      <c r="P104" s="131">
        <v>2011</v>
      </c>
    </row>
    <row r="105" spans="1:16" s="148" customFormat="1" ht="14.4" x14ac:dyDescent="0.3">
      <c r="A105" s="6"/>
      <c r="B105" s="7"/>
      <c r="C105" s="8"/>
      <c r="D105" s="152"/>
      <c r="E105" s="12"/>
      <c r="F105" s="22"/>
      <c r="G105" s="9"/>
      <c r="H105" s="9"/>
      <c r="I105" s="23"/>
      <c r="J105" s="23"/>
      <c r="K105" s="26"/>
      <c r="L105" s="28"/>
      <c r="M105" s="10"/>
      <c r="N105" s="11"/>
      <c r="O105" s="130"/>
      <c r="P105" s="131"/>
    </row>
    <row r="106" spans="1:16" s="148" customFormat="1" x14ac:dyDescent="0.2">
      <c r="A106" s="14"/>
      <c r="B106" s="14" t="s">
        <v>62</v>
      </c>
      <c r="C106" s="14"/>
      <c r="D106" s="132">
        <v>112026</v>
      </c>
      <c r="E106" s="16">
        <v>46314.228755758733</v>
      </c>
      <c r="F106" s="19">
        <v>4338411</v>
      </c>
      <c r="G106" s="19">
        <v>17353644</v>
      </c>
      <c r="H106" s="19">
        <v>16168529</v>
      </c>
      <c r="I106" s="19">
        <v>305925700</v>
      </c>
      <c r="J106" s="19">
        <v>255085000</v>
      </c>
      <c r="K106" s="19"/>
      <c r="L106" s="19">
        <v>218632569</v>
      </c>
      <c r="M106" s="15">
        <v>0.71465904629784294</v>
      </c>
      <c r="N106" s="15">
        <v>5.6725028332042716E-2</v>
      </c>
      <c r="O106" s="132">
        <v>17151977</v>
      </c>
      <c r="P106" s="132"/>
    </row>
    <row r="107" spans="1:16" s="148" customFormat="1" ht="14.4" x14ac:dyDescent="0.3">
      <c r="A107" s="6"/>
      <c r="B107" s="7"/>
      <c r="C107" s="8"/>
      <c r="D107" s="152"/>
      <c r="E107" s="12"/>
      <c r="F107" s="22"/>
      <c r="G107" s="9"/>
      <c r="H107" s="9"/>
      <c r="I107" s="23"/>
      <c r="J107" s="23"/>
      <c r="K107" s="26"/>
      <c r="L107" s="28"/>
      <c r="M107" s="10"/>
      <c r="N107" s="11"/>
      <c r="O107" s="130"/>
      <c r="P107" s="131"/>
    </row>
    <row r="108" spans="1:16" s="148" customFormat="1" x14ac:dyDescent="0.2">
      <c r="A108" s="2" t="s">
        <v>67</v>
      </c>
      <c r="B108" s="3"/>
      <c r="C108" s="3"/>
      <c r="D108" s="25"/>
      <c r="E108" s="3"/>
      <c r="F108" s="17"/>
      <c r="G108" s="3"/>
      <c r="H108" s="3"/>
      <c r="I108" s="3"/>
      <c r="J108" s="3"/>
      <c r="K108" s="25"/>
      <c r="L108" s="25"/>
      <c r="M108" s="3"/>
      <c r="N108" s="3"/>
      <c r="O108" s="133"/>
      <c r="P108" s="133"/>
    </row>
    <row r="109" spans="1:16" s="148" customFormat="1" ht="25.2" x14ac:dyDescent="0.2">
      <c r="A109" s="4"/>
      <c r="B109" s="5" t="s">
        <v>0</v>
      </c>
      <c r="C109" s="5" t="s">
        <v>1</v>
      </c>
      <c r="D109" s="20" t="s">
        <v>68</v>
      </c>
      <c r="E109" s="21" t="s">
        <v>63</v>
      </c>
      <c r="F109" s="21" t="s">
        <v>2</v>
      </c>
      <c r="G109" s="21" t="s">
        <v>71</v>
      </c>
      <c r="H109" s="29" t="s">
        <v>3</v>
      </c>
      <c r="I109" s="21" t="s">
        <v>70</v>
      </c>
      <c r="J109" s="21" t="s">
        <v>174</v>
      </c>
      <c r="K109" s="24" t="s">
        <v>65</v>
      </c>
      <c r="L109" s="24" t="s">
        <v>64</v>
      </c>
      <c r="M109" s="21" t="s">
        <v>4</v>
      </c>
      <c r="N109" s="21" t="s">
        <v>72</v>
      </c>
      <c r="O109" s="129" t="s">
        <v>175</v>
      </c>
      <c r="P109" s="129" t="s">
        <v>176</v>
      </c>
    </row>
    <row r="110" spans="1:16" s="148" customFormat="1" ht="14.4" x14ac:dyDescent="0.3">
      <c r="A110" s="6">
        <v>4</v>
      </c>
      <c r="B110" s="7" t="s">
        <v>5</v>
      </c>
      <c r="C110" s="8" t="s">
        <v>11</v>
      </c>
      <c r="D110" s="152">
        <v>3756</v>
      </c>
      <c r="E110" s="12">
        <v>45961</v>
      </c>
      <c r="F110" s="22">
        <v>186722.25</v>
      </c>
      <c r="G110" s="9">
        <v>746889</v>
      </c>
      <c r="H110" s="9">
        <v>727190</v>
      </c>
      <c r="I110" s="23">
        <v>14120000</v>
      </c>
      <c r="J110" s="23">
        <v>14720000</v>
      </c>
      <c r="K110" s="26" t="s">
        <v>7</v>
      </c>
      <c r="L110" s="28">
        <v>10315892</v>
      </c>
      <c r="M110" s="10">
        <v>0.73058725212464593</v>
      </c>
      <c r="N110" s="11">
        <v>5.2895821529745042E-2</v>
      </c>
      <c r="O110" s="130">
        <v>747538</v>
      </c>
      <c r="P110" s="131">
        <v>2013</v>
      </c>
    </row>
    <row r="111" spans="1:16" s="148" customFormat="1" ht="14.4" x14ac:dyDescent="0.3">
      <c r="A111" s="6">
        <v>5</v>
      </c>
      <c r="B111" s="7" t="s">
        <v>5</v>
      </c>
      <c r="C111" s="8" t="s">
        <v>12</v>
      </c>
      <c r="D111" s="152">
        <v>3559</v>
      </c>
      <c r="E111" s="12">
        <v>47787</v>
      </c>
      <c r="F111" s="22">
        <v>285155.5</v>
      </c>
      <c r="G111" s="9">
        <v>1140622</v>
      </c>
      <c r="H111" s="9">
        <v>1105329</v>
      </c>
      <c r="I111" s="23">
        <v>22201671</v>
      </c>
      <c r="J111" s="23">
        <v>18505000</v>
      </c>
      <c r="K111" s="26" t="s">
        <v>7</v>
      </c>
      <c r="L111" s="28">
        <v>15577226</v>
      </c>
      <c r="M111" s="10">
        <v>0.70162403541607299</v>
      </c>
      <c r="N111" s="11">
        <v>5.1375502321424363E-2</v>
      </c>
      <c r="O111" s="130">
        <v>1139177</v>
      </c>
      <c r="P111" s="131">
        <v>2011</v>
      </c>
    </row>
    <row r="112" spans="1:16" s="148" customFormat="1" ht="14.4" x14ac:dyDescent="0.3">
      <c r="A112" s="6">
        <v>6</v>
      </c>
      <c r="B112" s="7" t="s">
        <v>5</v>
      </c>
      <c r="C112" s="8" t="s">
        <v>13</v>
      </c>
      <c r="D112" s="152">
        <v>2807</v>
      </c>
      <c r="E112" s="12">
        <v>45230</v>
      </c>
      <c r="F112" s="22">
        <v>165318.25</v>
      </c>
      <c r="G112" s="9">
        <v>661273</v>
      </c>
      <c r="H112" s="9">
        <v>637904</v>
      </c>
      <c r="I112" s="23">
        <v>8728570</v>
      </c>
      <c r="J112" s="23">
        <v>5900000</v>
      </c>
      <c r="K112" s="26" t="s">
        <v>7</v>
      </c>
      <c r="L112" s="28">
        <v>5452795</v>
      </c>
      <c r="M112" s="10">
        <v>0.62470656705508465</v>
      </c>
      <c r="N112" s="11">
        <v>7.575960323397761E-2</v>
      </c>
      <c r="O112" s="130">
        <v>672827</v>
      </c>
      <c r="P112" s="131">
        <v>2012</v>
      </c>
    </row>
    <row r="113" spans="1:16" s="148" customFormat="1" ht="14.4" x14ac:dyDescent="0.3">
      <c r="A113" s="6">
        <v>7</v>
      </c>
      <c r="B113" s="7" t="s">
        <v>5</v>
      </c>
      <c r="C113" s="8" t="s">
        <v>13</v>
      </c>
      <c r="D113" s="152">
        <v>1496</v>
      </c>
      <c r="E113" s="12">
        <v>45596</v>
      </c>
      <c r="F113" s="22">
        <v>84934.75</v>
      </c>
      <c r="G113" s="9">
        <v>339739</v>
      </c>
      <c r="H113" s="9">
        <v>335289</v>
      </c>
      <c r="I113" s="23">
        <v>5190000</v>
      </c>
      <c r="J113" s="23">
        <v>4740000</v>
      </c>
      <c r="K113" s="26" t="s">
        <v>7</v>
      </c>
      <c r="L113" s="28">
        <v>3369705</v>
      </c>
      <c r="M113" s="10">
        <v>0.64926878612716765</v>
      </c>
      <c r="N113" s="11">
        <v>6.5460308285163776E-2</v>
      </c>
      <c r="O113" s="130">
        <v>316449</v>
      </c>
      <c r="P113" s="131">
        <v>2013</v>
      </c>
    </row>
    <row r="114" spans="1:16" s="148" customFormat="1" ht="14.4" x14ac:dyDescent="0.3">
      <c r="A114" s="6">
        <v>10</v>
      </c>
      <c r="B114" s="7" t="s">
        <v>5</v>
      </c>
      <c r="C114" s="8" t="s">
        <v>13</v>
      </c>
      <c r="D114" s="152">
        <v>3845</v>
      </c>
      <c r="E114" s="12">
        <v>46691</v>
      </c>
      <c r="F114" s="22">
        <v>214806.5</v>
      </c>
      <c r="G114" s="9">
        <v>859226</v>
      </c>
      <c r="H114" s="9">
        <v>811159</v>
      </c>
      <c r="I114" s="23">
        <v>19915381</v>
      </c>
      <c r="J114" s="23">
        <v>18480000</v>
      </c>
      <c r="K114" s="26" t="s">
        <v>9</v>
      </c>
      <c r="L114" s="28">
        <v>11686749</v>
      </c>
      <c r="M114" s="10">
        <v>0.58682025716706099</v>
      </c>
      <c r="N114" s="11">
        <v>4.3143839427425466E-2</v>
      </c>
      <c r="O114" s="130">
        <v>1179692</v>
      </c>
      <c r="P114" s="131">
        <v>2011</v>
      </c>
    </row>
    <row r="115" spans="1:16" s="148" customFormat="1" ht="14.4" x14ac:dyDescent="0.3">
      <c r="A115" s="6">
        <v>11</v>
      </c>
      <c r="B115" s="7" t="s">
        <v>5</v>
      </c>
      <c r="C115" s="8" t="s">
        <v>13</v>
      </c>
      <c r="D115" s="152">
        <v>1419</v>
      </c>
      <c r="E115" s="12">
        <v>44500</v>
      </c>
      <c r="F115" s="22">
        <v>67362.75</v>
      </c>
      <c r="G115" s="9">
        <v>269451</v>
      </c>
      <c r="H115" s="9">
        <v>242406</v>
      </c>
      <c r="I115" s="23">
        <v>4951522</v>
      </c>
      <c r="J115" s="23">
        <v>2970000</v>
      </c>
      <c r="K115" s="26" t="s">
        <v>9</v>
      </c>
      <c r="L115" s="28">
        <v>2718739</v>
      </c>
      <c r="M115" s="10">
        <v>0.54907137643738635</v>
      </c>
      <c r="N115" s="11">
        <v>5.4417813351127192E-2</v>
      </c>
      <c r="O115" s="130">
        <v>217329</v>
      </c>
      <c r="P115" s="131">
        <v>2011</v>
      </c>
    </row>
    <row r="116" spans="1:16" s="148" customFormat="1" ht="14.4" x14ac:dyDescent="0.3">
      <c r="A116" s="6">
        <v>13</v>
      </c>
      <c r="B116" s="7" t="s">
        <v>5</v>
      </c>
      <c r="C116" s="8" t="s">
        <v>16</v>
      </c>
      <c r="D116" s="152">
        <v>2676</v>
      </c>
      <c r="E116" s="12">
        <v>44865</v>
      </c>
      <c r="F116" s="22">
        <v>141517</v>
      </c>
      <c r="G116" s="9">
        <v>566068</v>
      </c>
      <c r="H116" s="9">
        <v>528795</v>
      </c>
      <c r="I116" s="23">
        <v>10140000</v>
      </c>
      <c r="J116" s="23">
        <v>11000000</v>
      </c>
      <c r="K116" s="26" t="s">
        <v>9</v>
      </c>
      <c r="L116" s="28">
        <v>7980074</v>
      </c>
      <c r="M116" s="10">
        <v>0.78698954635108487</v>
      </c>
      <c r="N116" s="11">
        <v>5.5825246548323472E-2</v>
      </c>
      <c r="O116" s="130">
        <v>552146</v>
      </c>
      <c r="P116" s="131">
        <v>2013</v>
      </c>
    </row>
    <row r="117" spans="1:16" s="148" customFormat="1" ht="14.4" x14ac:dyDescent="0.3">
      <c r="A117" s="6">
        <v>15</v>
      </c>
      <c r="B117" s="7" t="s">
        <v>5</v>
      </c>
      <c r="C117" s="8" t="s">
        <v>18</v>
      </c>
      <c r="D117" s="152">
        <v>5705</v>
      </c>
      <c r="E117" s="12">
        <v>42308</v>
      </c>
      <c r="F117" s="22">
        <v>90489.75</v>
      </c>
      <c r="G117" s="9">
        <v>361959</v>
      </c>
      <c r="H117" s="9">
        <v>345358</v>
      </c>
      <c r="I117" s="23">
        <v>5212022</v>
      </c>
      <c r="J117" s="23">
        <v>4500000</v>
      </c>
      <c r="K117" s="26" t="s">
        <v>7</v>
      </c>
      <c r="L117" s="28">
        <v>4066621</v>
      </c>
      <c r="M117" s="10">
        <v>0.78023864826357214</v>
      </c>
      <c r="N117" s="11">
        <v>6.9446944007527212E-2</v>
      </c>
      <c r="O117" s="130">
        <v>367105</v>
      </c>
      <c r="P117" s="131">
        <v>2012</v>
      </c>
    </row>
    <row r="118" spans="1:16" s="148" customFormat="1" ht="14.4" x14ac:dyDescent="0.3">
      <c r="A118" s="6">
        <v>16</v>
      </c>
      <c r="B118" s="7" t="s">
        <v>5</v>
      </c>
      <c r="C118" s="8" t="s">
        <v>19</v>
      </c>
      <c r="D118" s="152">
        <v>6415</v>
      </c>
      <c r="E118" s="12">
        <v>47422</v>
      </c>
      <c r="F118" s="22">
        <v>273102.25</v>
      </c>
      <c r="G118" s="9">
        <v>1092409</v>
      </c>
      <c r="H118" s="9">
        <v>1056854</v>
      </c>
      <c r="I118" s="23">
        <v>21280000</v>
      </c>
      <c r="J118" s="23">
        <v>20120000</v>
      </c>
      <c r="K118" s="26" t="s">
        <v>7</v>
      </c>
      <c r="L118" s="28">
        <v>16029073</v>
      </c>
      <c r="M118" s="10">
        <v>0.75324591165413535</v>
      </c>
      <c r="N118" s="11">
        <v>5.1335009398496244E-2</v>
      </c>
      <c r="O118" s="130">
        <v>1010198</v>
      </c>
      <c r="P118" s="131">
        <v>2013</v>
      </c>
    </row>
    <row r="119" spans="1:16" s="148" customFormat="1" ht="14.4" x14ac:dyDescent="0.3">
      <c r="A119" s="6">
        <v>17</v>
      </c>
      <c r="B119" s="7" t="s">
        <v>5</v>
      </c>
      <c r="C119" s="8" t="s">
        <v>20</v>
      </c>
      <c r="D119" s="152">
        <v>3481</v>
      </c>
      <c r="E119" s="12">
        <v>46691</v>
      </c>
      <c r="F119" s="22">
        <v>113863.75</v>
      </c>
      <c r="G119" s="9">
        <v>455455</v>
      </c>
      <c r="H119" s="9">
        <v>447165</v>
      </c>
      <c r="I119" s="23">
        <v>6861050</v>
      </c>
      <c r="J119" s="23">
        <v>5815000</v>
      </c>
      <c r="K119" s="26" t="s">
        <v>14</v>
      </c>
      <c r="L119" s="28">
        <v>5238359</v>
      </c>
      <c r="M119" s="10">
        <v>0.76349232260368316</v>
      </c>
      <c r="N119" s="11">
        <v>6.6382696526041937E-2</v>
      </c>
      <c r="O119" s="130">
        <v>425890</v>
      </c>
      <c r="P119" s="131">
        <v>2011</v>
      </c>
    </row>
    <row r="120" spans="1:16" s="148" customFormat="1" ht="14.4" x14ac:dyDescent="0.3">
      <c r="A120" s="6">
        <v>18</v>
      </c>
      <c r="B120" s="7" t="s">
        <v>5</v>
      </c>
      <c r="C120" s="8" t="s">
        <v>21</v>
      </c>
      <c r="D120" s="152">
        <v>4235</v>
      </c>
      <c r="E120" s="12">
        <v>44865</v>
      </c>
      <c r="F120" s="22">
        <v>238591.5</v>
      </c>
      <c r="G120" s="9">
        <v>954366</v>
      </c>
      <c r="H120" s="9">
        <v>926432</v>
      </c>
      <c r="I120" s="23">
        <v>15572396</v>
      </c>
      <c r="J120" s="23">
        <v>13100000</v>
      </c>
      <c r="K120" s="26" t="s">
        <v>9</v>
      </c>
      <c r="L120" s="28">
        <v>12605759</v>
      </c>
      <c r="M120" s="10">
        <v>0.80949386337208484</v>
      </c>
      <c r="N120" s="11">
        <v>6.1285752044836259E-2</v>
      </c>
      <c r="O120" s="130">
        <v>946456</v>
      </c>
      <c r="P120" s="131">
        <v>2012</v>
      </c>
    </row>
    <row r="121" spans="1:16" s="148" customFormat="1" ht="14.4" x14ac:dyDescent="0.3">
      <c r="A121" s="6">
        <v>19</v>
      </c>
      <c r="B121" s="7" t="s">
        <v>5</v>
      </c>
      <c r="C121" s="8" t="s">
        <v>22</v>
      </c>
      <c r="D121" s="152">
        <v>4364</v>
      </c>
      <c r="E121" s="12">
        <v>47057</v>
      </c>
      <c r="F121" s="22">
        <v>150683</v>
      </c>
      <c r="G121" s="9">
        <v>602732</v>
      </c>
      <c r="H121" s="9">
        <v>578953</v>
      </c>
      <c r="I121" s="23">
        <v>11650000</v>
      </c>
      <c r="J121" s="23">
        <v>11820000</v>
      </c>
      <c r="K121" s="26" t="s">
        <v>7</v>
      </c>
      <c r="L121" s="28">
        <v>8301727</v>
      </c>
      <c r="M121" s="10">
        <v>0.71259459227467814</v>
      </c>
      <c r="N121" s="11">
        <v>5.1736652360515022E-2</v>
      </c>
      <c r="O121" s="130">
        <v>647069</v>
      </c>
      <c r="P121" s="131">
        <v>2013</v>
      </c>
    </row>
    <row r="122" spans="1:16" s="148" customFormat="1" ht="14.4" x14ac:dyDescent="0.3">
      <c r="A122" s="6">
        <v>21</v>
      </c>
      <c r="B122" s="7" t="s">
        <v>5</v>
      </c>
      <c r="C122" s="8" t="s">
        <v>23</v>
      </c>
      <c r="D122" s="152">
        <v>4690</v>
      </c>
      <c r="E122" s="12">
        <v>46691</v>
      </c>
      <c r="F122" s="22">
        <v>273368.75</v>
      </c>
      <c r="G122" s="9">
        <v>1093475</v>
      </c>
      <c r="H122" s="9">
        <v>1063683</v>
      </c>
      <c r="I122" s="23">
        <v>20499067</v>
      </c>
      <c r="J122" s="23">
        <v>17150000</v>
      </c>
      <c r="K122" s="26" t="s">
        <v>9</v>
      </c>
      <c r="L122" s="28">
        <v>15178988</v>
      </c>
      <c r="M122" s="10">
        <v>0.74047213953688718</v>
      </c>
      <c r="N122" s="11">
        <v>5.3342671644519238E-2</v>
      </c>
      <c r="O122" s="130">
        <v>1290346</v>
      </c>
      <c r="P122" s="131">
        <v>2012</v>
      </c>
    </row>
    <row r="123" spans="1:16" s="148" customFormat="1" ht="14.4" x14ac:dyDescent="0.3">
      <c r="A123" s="6">
        <v>22</v>
      </c>
      <c r="B123" s="7" t="s">
        <v>5</v>
      </c>
      <c r="C123" s="8" t="s">
        <v>24</v>
      </c>
      <c r="D123" s="152">
        <v>2868</v>
      </c>
      <c r="E123" s="12">
        <v>45961</v>
      </c>
      <c r="F123" s="22">
        <v>79519</v>
      </c>
      <c r="G123" s="9">
        <v>318076</v>
      </c>
      <c r="H123" s="9">
        <v>281975</v>
      </c>
      <c r="I123" s="23">
        <v>4630000</v>
      </c>
      <c r="J123" s="23">
        <v>4180000</v>
      </c>
      <c r="K123" s="26" t="s">
        <v>9</v>
      </c>
      <c r="L123" s="28">
        <v>3622433</v>
      </c>
      <c r="M123" s="10">
        <v>0.78238293736501074</v>
      </c>
      <c r="N123" s="11">
        <v>6.8698920086393084E-2</v>
      </c>
      <c r="O123" s="130">
        <v>291156</v>
      </c>
      <c r="P123" s="131">
        <v>2013</v>
      </c>
    </row>
    <row r="124" spans="1:16" s="148" customFormat="1" ht="14.4" x14ac:dyDescent="0.3">
      <c r="A124" s="6">
        <v>23</v>
      </c>
      <c r="B124" s="7" t="s">
        <v>5</v>
      </c>
      <c r="C124" s="8" t="s">
        <v>25</v>
      </c>
      <c r="D124" s="152">
        <v>3348</v>
      </c>
      <c r="E124" s="12">
        <v>45230</v>
      </c>
      <c r="F124" s="22">
        <v>145044.75</v>
      </c>
      <c r="G124" s="9">
        <v>580179</v>
      </c>
      <c r="H124" s="9">
        <v>542964</v>
      </c>
      <c r="I124" s="23">
        <v>10025199</v>
      </c>
      <c r="J124" s="23">
        <v>8170000</v>
      </c>
      <c r="K124" s="26" t="s">
        <v>14</v>
      </c>
      <c r="L124" s="28">
        <v>7497593</v>
      </c>
      <c r="M124" s="10">
        <v>0.74787473046669695</v>
      </c>
      <c r="N124" s="11">
        <v>5.7872068175404801E-2</v>
      </c>
      <c r="O124" s="130">
        <v>566489</v>
      </c>
      <c r="P124" s="131">
        <v>2011</v>
      </c>
    </row>
    <row r="125" spans="1:16" s="148" customFormat="1" ht="14.4" x14ac:dyDescent="0.3">
      <c r="A125" s="6">
        <v>25</v>
      </c>
      <c r="B125" s="7" t="s">
        <v>5</v>
      </c>
      <c r="C125" s="8" t="s">
        <v>27</v>
      </c>
      <c r="D125" s="152">
        <v>2707</v>
      </c>
      <c r="E125" s="12">
        <v>44135</v>
      </c>
      <c r="F125" s="22">
        <v>126788.75</v>
      </c>
      <c r="G125" s="9">
        <v>507155</v>
      </c>
      <c r="H125" s="9">
        <v>489443</v>
      </c>
      <c r="I125" s="23">
        <v>8170000</v>
      </c>
      <c r="J125" s="23">
        <v>6950000</v>
      </c>
      <c r="K125" s="26" t="s">
        <v>14</v>
      </c>
      <c r="L125" s="28">
        <v>5981226</v>
      </c>
      <c r="M125" s="10">
        <v>0.73209620563035493</v>
      </c>
      <c r="N125" s="11">
        <v>6.2075275397796816E-2</v>
      </c>
      <c r="O125" s="130">
        <v>476601</v>
      </c>
      <c r="P125" s="131">
        <v>2013</v>
      </c>
    </row>
    <row r="126" spans="1:16" s="148" customFormat="1" ht="14.4" x14ac:dyDescent="0.3">
      <c r="A126" s="6">
        <v>26</v>
      </c>
      <c r="B126" s="7" t="s">
        <v>5</v>
      </c>
      <c r="C126" s="8" t="s">
        <v>28</v>
      </c>
      <c r="D126" s="152">
        <v>2573</v>
      </c>
      <c r="E126" s="12">
        <v>42308</v>
      </c>
      <c r="F126" s="22">
        <v>86962</v>
      </c>
      <c r="G126" s="9">
        <v>347848</v>
      </c>
      <c r="H126" s="9">
        <v>340432</v>
      </c>
      <c r="I126" s="23">
        <v>5891761</v>
      </c>
      <c r="J126" s="23">
        <v>5050000</v>
      </c>
      <c r="K126" s="26" t="s">
        <v>7</v>
      </c>
      <c r="L126" s="28">
        <v>4893730</v>
      </c>
      <c r="M126" s="10">
        <v>0.83060565423478649</v>
      </c>
      <c r="N126" s="11">
        <v>5.9039733621238197E-2</v>
      </c>
      <c r="O126" s="130">
        <v>383195</v>
      </c>
      <c r="P126" s="131">
        <v>2011</v>
      </c>
    </row>
    <row r="127" spans="1:16" s="148" customFormat="1" ht="14.4" x14ac:dyDescent="0.3">
      <c r="A127" s="6">
        <v>28</v>
      </c>
      <c r="B127" s="7" t="s">
        <v>5</v>
      </c>
      <c r="C127" s="8" t="s">
        <v>30</v>
      </c>
      <c r="D127" s="152">
        <v>3637</v>
      </c>
      <c r="E127" s="12">
        <v>45596</v>
      </c>
      <c r="F127" s="22">
        <v>93070</v>
      </c>
      <c r="G127" s="9">
        <v>372280</v>
      </c>
      <c r="H127" s="9">
        <v>360683</v>
      </c>
      <c r="I127" s="23">
        <v>5915000</v>
      </c>
      <c r="J127" s="23">
        <v>5740000</v>
      </c>
      <c r="K127" s="26" t="s">
        <v>7</v>
      </c>
      <c r="L127" s="28">
        <v>4663978</v>
      </c>
      <c r="M127" s="10">
        <v>0.78850008453085374</v>
      </c>
      <c r="N127" s="11">
        <v>6.2938292476754018E-2</v>
      </c>
      <c r="O127" s="130">
        <v>325799</v>
      </c>
      <c r="P127" s="131">
        <v>2013</v>
      </c>
    </row>
    <row r="128" spans="1:16" s="148" customFormat="1" ht="14.4" x14ac:dyDescent="0.3">
      <c r="A128" s="6">
        <v>29</v>
      </c>
      <c r="B128" s="7" t="s">
        <v>5</v>
      </c>
      <c r="C128" s="8" t="s">
        <v>31</v>
      </c>
      <c r="D128" s="152">
        <v>3795</v>
      </c>
      <c r="E128" s="12">
        <v>42308</v>
      </c>
      <c r="F128" s="22">
        <v>203637.5</v>
      </c>
      <c r="G128" s="9">
        <v>814550</v>
      </c>
      <c r="H128" s="9">
        <v>790208</v>
      </c>
      <c r="I128" s="23">
        <v>14571996</v>
      </c>
      <c r="J128" s="23">
        <v>10575000</v>
      </c>
      <c r="K128" s="26" t="s">
        <v>7</v>
      </c>
      <c r="L128" s="28">
        <v>12008402</v>
      </c>
      <c r="M128" s="10">
        <v>0.82407392919954137</v>
      </c>
      <c r="N128" s="11">
        <v>5.5898313449989967E-2</v>
      </c>
      <c r="O128" s="130">
        <v>780376</v>
      </c>
      <c r="P128" s="131">
        <v>2011</v>
      </c>
    </row>
    <row r="129" spans="1:16" s="148" customFormat="1" ht="14.4" x14ac:dyDescent="0.3">
      <c r="A129" s="6">
        <v>30</v>
      </c>
      <c r="B129" s="7" t="s">
        <v>5</v>
      </c>
      <c r="C129" s="8" t="s">
        <v>32</v>
      </c>
      <c r="D129" s="152">
        <v>3726</v>
      </c>
      <c r="E129" s="12">
        <v>46326</v>
      </c>
      <c r="F129" s="22">
        <v>207276.5</v>
      </c>
      <c r="G129" s="9">
        <v>829106</v>
      </c>
      <c r="H129" s="9">
        <v>803807</v>
      </c>
      <c r="I129" s="23">
        <v>13807900</v>
      </c>
      <c r="J129" s="23">
        <v>9900000</v>
      </c>
      <c r="K129" s="26" t="s">
        <v>7</v>
      </c>
      <c r="L129" s="28">
        <v>10714129</v>
      </c>
      <c r="M129" s="10">
        <v>0.77594196076159305</v>
      </c>
      <c r="N129" s="11">
        <v>6.0045770899267811E-2</v>
      </c>
      <c r="O129" s="130">
        <v>756178</v>
      </c>
      <c r="P129" s="131">
        <v>2012</v>
      </c>
    </row>
    <row r="130" spans="1:16" s="148" customFormat="1" ht="14.4" x14ac:dyDescent="0.3">
      <c r="A130" s="6">
        <v>31</v>
      </c>
      <c r="B130" s="7" t="s">
        <v>5</v>
      </c>
      <c r="C130" s="8" t="s">
        <v>33</v>
      </c>
      <c r="D130" s="152">
        <v>2436</v>
      </c>
      <c r="E130" s="12">
        <v>45961</v>
      </c>
      <c r="F130" s="22">
        <v>104535.5</v>
      </c>
      <c r="G130" s="9">
        <v>418142</v>
      </c>
      <c r="H130" s="9">
        <v>374069</v>
      </c>
      <c r="I130" s="23">
        <v>6945000</v>
      </c>
      <c r="J130" s="23">
        <v>7040000</v>
      </c>
      <c r="K130" s="26" t="s">
        <v>9</v>
      </c>
      <c r="L130" s="28">
        <v>5368552</v>
      </c>
      <c r="M130" s="10">
        <v>0.77300964722822174</v>
      </c>
      <c r="N130" s="11">
        <v>6.0207631389488842E-2</v>
      </c>
      <c r="O130" s="130">
        <v>401469</v>
      </c>
      <c r="P130" s="131">
        <v>2013</v>
      </c>
    </row>
    <row r="131" spans="1:16" s="148" customFormat="1" ht="14.4" x14ac:dyDescent="0.3">
      <c r="A131" s="6">
        <v>32</v>
      </c>
      <c r="B131" s="7" t="s">
        <v>5</v>
      </c>
      <c r="C131" s="8" t="s">
        <v>33</v>
      </c>
      <c r="D131" s="152">
        <v>4959</v>
      </c>
      <c r="E131" s="12">
        <v>45596</v>
      </c>
      <c r="F131" s="22">
        <v>189148.75</v>
      </c>
      <c r="G131" s="9">
        <v>756595</v>
      </c>
      <c r="H131" s="9">
        <v>686388</v>
      </c>
      <c r="I131" s="23">
        <v>16068538</v>
      </c>
      <c r="J131" s="23">
        <v>11710000</v>
      </c>
      <c r="K131" s="26" t="s">
        <v>9</v>
      </c>
      <c r="L131" s="28">
        <v>10285258</v>
      </c>
      <c r="M131" s="10">
        <v>0.64008673346635514</v>
      </c>
      <c r="N131" s="11">
        <v>4.7085490913983584E-2</v>
      </c>
      <c r="O131" s="130">
        <v>721620</v>
      </c>
      <c r="P131" s="131">
        <v>2011</v>
      </c>
    </row>
    <row r="132" spans="1:16" s="148" customFormat="1" ht="14.4" x14ac:dyDescent="0.3">
      <c r="A132" s="6">
        <v>33</v>
      </c>
      <c r="B132" s="7" t="s">
        <v>5</v>
      </c>
      <c r="C132" s="8" t="s">
        <v>34</v>
      </c>
      <c r="D132" s="152">
        <v>1907</v>
      </c>
      <c r="E132" s="12">
        <v>44865</v>
      </c>
      <c r="F132" s="22">
        <v>100734.5</v>
      </c>
      <c r="G132" s="9">
        <v>402938</v>
      </c>
      <c r="H132" s="9">
        <v>392015</v>
      </c>
      <c r="I132" s="23">
        <v>6432764</v>
      </c>
      <c r="J132" s="23">
        <v>4900000</v>
      </c>
      <c r="K132" s="26" t="s">
        <v>14</v>
      </c>
      <c r="L132" s="28">
        <v>4954998</v>
      </c>
      <c r="M132" s="10">
        <v>0.77027511035691654</v>
      </c>
      <c r="N132" s="11">
        <v>6.2638393076444282E-2</v>
      </c>
      <c r="O132" s="130">
        <v>392146</v>
      </c>
      <c r="P132" s="131">
        <v>2012</v>
      </c>
    </row>
    <row r="133" spans="1:16" s="148" customFormat="1" ht="14.4" x14ac:dyDescent="0.3">
      <c r="A133" s="6">
        <v>34</v>
      </c>
      <c r="B133" s="7" t="s">
        <v>5</v>
      </c>
      <c r="C133" s="8" t="s">
        <v>34</v>
      </c>
      <c r="D133" s="152">
        <v>2502</v>
      </c>
      <c r="E133" s="12">
        <v>44135</v>
      </c>
      <c r="F133" s="22">
        <v>174398.25</v>
      </c>
      <c r="G133" s="9">
        <v>697593</v>
      </c>
      <c r="H133" s="9">
        <v>597101</v>
      </c>
      <c r="I133" s="23">
        <v>11070000</v>
      </c>
      <c r="J133" s="23">
        <v>10550000</v>
      </c>
      <c r="K133" s="26" t="s">
        <v>7</v>
      </c>
      <c r="L133" s="28">
        <v>8523821</v>
      </c>
      <c r="M133" s="10">
        <v>0.76999286359530261</v>
      </c>
      <c r="N133" s="11">
        <v>6.3016531165311654E-2</v>
      </c>
      <c r="O133" s="130">
        <v>644603</v>
      </c>
      <c r="P133" s="131">
        <v>2013</v>
      </c>
    </row>
    <row r="134" spans="1:16" s="148" customFormat="1" ht="14.4" x14ac:dyDescent="0.3">
      <c r="A134" s="6">
        <v>35</v>
      </c>
      <c r="B134" s="7" t="s">
        <v>5</v>
      </c>
      <c r="C134" s="8" t="s">
        <v>35</v>
      </c>
      <c r="D134" s="152">
        <v>2596</v>
      </c>
      <c r="E134" s="12">
        <v>44500</v>
      </c>
      <c r="F134" s="22">
        <v>62993</v>
      </c>
      <c r="G134" s="9">
        <v>251972</v>
      </c>
      <c r="H134" s="9">
        <v>241999</v>
      </c>
      <c r="I134" s="23">
        <v>4137008</v>
      </c>
      <c r="J134" s="23">
        <v>3835000</v>
      </c>
      <c r="K134" s="26" t="s">
        <v>7</v>
      </c>
      <c r="L134" s="28">
        <v>3354388</v>
      </c>
      <c r="M134" s="10">
        <v>0.81082463461516152</v>
      </c>
      <c r="N134" s="11">
        <v>6.090681961456202E-2</v>
      </c>
      <c r="O134" s="130">
        <v>239595</v>
      </c>
      <c r="P134" s="131">
        <v>2011</v>
      </c>
    </row>
    <row r="135" spans="1:16" s="148" customFormat="1" ht="14.4" x14ac:dyDescent="0.3">
      <c r="A135" s="6">
        <v>37</v>
      </c>
      <c r="B135" s="7" t="s">
        <v>5</v>
      </c>
      <c r="C135" s="8" t="s">
        <v>37</v>
      </c>
      <c r="D135" s="152">
        <v>4095</v>
      </c>
      <c r="E135" s="12">
        <v>44500</v>
      </c>
      <c r="F135" s="22">
        <v>202033</v>
      </c>
      <c r="G135" s="9">
        <v>808132</v>
      </c>
      <c r="H135" s="9">
        <v>731803</v>
      </c>
      <c r="I135" s="23">
        <v>12905000</v>
      </c>
      <c r="J135" s="23">
        <v>11300000</v>
      </c>
      <c r="K135" s="26" t="s">
        <v>7</v>
      </c>
      <c r="L135" s="28">
        <v>9703218</v>
      </c>
      <c r="M135" s="10">
        <v>0.75189600929872147</v>
      </c>
      <c r="N135" s="11">
        <v>6.2621619527315001E-2</v>
      </c>
      <c r="O135" s="130">
        <v>717870</v>
      </c>
      <c r="P135" s="131">
        <v>2013</v>
      </c>
    </row>
    <row r="136" spans="1:16" s="148" customFormat="1" ht="14.4" x14ac:dyDescent="0.3">
      <c r="A136" s="6">
        <v>38</v>
      </c>
      <c r="B136" s="7" t="s">
        <v>5</v>
      </c>
      <c r="C136" s="8" t="s">
        <v>38</v>
      </c>
      <c r="D136" s="152">
        <v>2136</v>
      </c>
      <c r="E136" s="12">
        <v>45596</v>
      </c>
      <c r="F136" s="22">
        <v>63464.25</v>
      </c>
      <c r="G136" s="9">
        <v>253857</v>
      </c>
      <c r="H136" s="9">
        <v>245597</v>
      </c>
      <c r="I136" s="23">
        <v>3870381</v>
      </c>
      <c r="J136" s="23">
        <v>3070000</v>
      </c>
      <c r="K136" s="26" t="s">
        <v>9</v>
      </c>
      <c r="L136" s="28">
        <v>2986784</v>
      </c>
      <c r="M136" s="10">
        <v>0.77170283752426438</v>
      </c>
      <c r="N136" s="11">
        <v>6.5589666753738202E-2</v>
      </c>
      <c r="O136" s="130">
        <v>240222</v>
      </c>
      <c r="P136" s="131">
        <v>2011</v>
      </c>
    </row>
    <row r="137" spans="1:16" s="148" customFormat="1" ht="14.4" x14ac:dyDescent="0.3">
      <c r="A137" s="6">
        <v>40</v>
      </c>
      <c r="B137" s="7" t="s">
        <v>5</v>
      </c>
      <c r="C137" s="8" t="s">
        <v>40</v>
      </c>
      <c r="D137" s="152">
        <v>3526</v>
      </c>
      <c r="E137" s="12">
        <v>45230</v>
      </c>
      <c r="F137" s="22">
        <v>154272.5</v>
      </c>
      <c r="G137" s="9">
        <v>617090</v>
      </c>
      <c r="H137" s="9">
        <v>588905</v>
      </c>
      <c r="I137" s="23">
        <v>10370000</v>
      </c>
      <c r="J137" s="23">
        <v>10060000</v>
      </c>
      <c r="K137" s="26" t="s">
        <v>7</v>
      </c>
      <c r="L137" s="28">
        <v>8133242</v>
      </c>
      <c r="M137" s="10">
        <v>0.7843049180327869</v>
      </c>
      <c r="N137" s="11">
        <v>5.9507232401157184E-2</v>
      </c>
      <c r="O137" s="130">
        <v>529134</v>
      </c>
      <c r="P137" s="131">
        <v>2013</v>
      </c>
    </row>
    <row r="138" spans="1:16" s="148" customFormat="1" ht="14.4" x14ac:dyDescent="0.3">
      <c r="A138" s="6">
        <v>41</v>
      </c>
      <c r="B138" s="7" t="s">
        <v>5</v>
      </c>
      <c r="C138" s="8" t="s">
        <v>41</v>
      </c>
      <c r="D138" s="152">
        <v>2315</v>
      </c>
      <c r="E138" s="12">
        <v>44500</v>
      </c>
      <c r="F138" s="22">
        <v>149656.75</v>
      </c>
      <c r="G138" s="9">
        <v>598627</v>
      </c>
      <c r="H138" s="9">
        <v>572269</v>
      </c>
      <c r="I138" s="23">
        <v>10836927</v>
      </c>
      <c r="J138" s="23">
        <v>9570000</v>
      </c>
      <c r="K138" s="26" t="s">
        <v>7</v>
      </c>
      <c r="L138" s="28">
        <v>8539138</v>
      </c>
      <c r="M138" s="10">
        <v>0.78796673632663572</v>
      </c>
      <c r="N138" s="11">
        <v>5.5239552688691178E-2</v>
      </c>
      <c r="O138" s="130">
        <v>596959</v>
      </c>
      <c r="P138" s="131">
        <v>2011</v>
      </c>
    </row>
    <row r="139" spans="1:16" s="148" customFormat="1" ht="14.4" x14ac:dyDescent="0.3">
      <c r="A139" s="6">
        <v>42</v>
      </c>
      <c r="B139" s="7" t="s">
        <v>5</v>
      </c>
      <c r="C139" s="8" t="s">
        <v>42</v>
      </c>
      <c r="D139" s="152">
        <v>3248</v>
      </c>
      <c r="E139" s="12">
        <v>47787</v>
      </c>
      <c r="F139" s="22">
        <v>278627.75</v>
      </c>
      <c r="G139" s="9">
        <v>1114511</v>
      </c>
      <c r="H139" s="9">
        <v>1074099</v>
      </c>
      <c r="I139" s="23">
        <v>22880206</v>
      </c>
      <c r="J139" s="23">
        <v>19655000</v>
      </c>
      <c r="K139" s="26" t="s">
        <v>7</v>
      </c>
      <c r="L139" s="28">
        <v>16304776</v>
      </c>
      <c r="M139" s="10">
        <v>0.71261491264545429</v>
      </c>
      <c r="N139" s="11">
        <v>4.8710706538219108E-2</v>
      </c>
      <c r="O139" s="130">
        <v>1117265</v>
      </c>
      <c r="P139" s="131">
        <v>2011</v>
      </c>
    </row>
    <row r="140" spans="1:16" s="148" customFormat="1" ht="14.4" x14ac:dyDescent="0.3">
      <c r="A140" s="6">
        <v>43</v>
      </c>
      <c r="B140" s="7" t="s">
        <v>5</v>
      </c>
      <c r="C140" s="8" t="s">
        <v>43</v>
      </c>
      <c r="D140" s="152">
        <v>1991</v>
      </c>
      <c r="E140" s="12">
        <v>44500</v>
      </c>
      <c r="F140" s="22">
        <v>133687.5</v>
      </c>
      <c r="G140" s="9">
        <v>534750</v>
      </c>
      <c r="H140" s="9">
        <v>500260</v>
      </c>
      <c r="I140" s="23">
        <v>8730000</v>
      </c>
      <c r="J140" s="23">
        <v>9590000</v>
      </c>
      <c r="K140" s="26" t="s">
        <v>9</v>
      </c>
      <c r="L140" s="28">
        <v>7489935</v>
      </c>
      <c r="M140" s="10">
        <v>0.85795360824742273</v>
      </c>
      <c r="N140" s="11">
        <v>6.1254295532646046E-2</v>
      </c>
      <c r="O140" s="130">
        <v>507267</v>
      </c>
      <c r="P140" s="131">
        <v>2013</v>
      </c>
    </row>
    <row r="141" spans="1:16" s="148" customFormat="1" ht="14.4" x14ac:dyDescent="0.3">
      <c r="A141" s="6">
        <v>44</v>
      </c>
      <c r="B141" s="7" t="s">
        <v>5</v>
      </c>
      <c r="C141" s="8" t="s">
        <v>43</v>
      </c>
      <c r="D141" s="152">
        <v>4625</v>
      </c>
      <c r="E141" s="12">
        <v>45230</v>
      </c>
      <c r="F141" s="22">
        <v>146822.75</v>
      </c>
      <c r="G141" s="9">
        <v>587291</v>
      </c>
      <c r="H141" s="9">
        <v>555819</v>
      </c>
      <c r="I141" s="23">
        <v>9201138</v>
      </c>
      <c r="J141" s="23">
        <v>8535000</v>
      </c>
      <c r="K141" s="26" t="s">
        <v>7</v>
      </c>
      <c r="L141" s="28">
        <v>6877261</v>
      </c>
      <c r="M141" s="10">
        <v>0.74743591499225426</v>
      </c>
      <c r="N141" s="11">
        <v>6.3828083004515312E-2</v>
      </c>
      <c r="O141" s="130">
        <v>588615</v>
      </c>
      <c r="P141" s="131">
        <v>2011</v>
      </c>
    </row>
    <row r="142" spans="1:16" s="148" customFormat="1" ht="14.4" x14ac:dyDescent="0.3">
      <c r="A142" s="6">
        <v>46</v>
      </c>
      <c r="B142" s="7" t="s">
        <v>5</v>
      </c>
      <c r="C142" s="8" t="s">
        <v>45</v>
      </c>
      <c r="D142" s="152">
        <v>3296</v>
      </c>
      <c r="E142" s="12">
        <v>45596</v>
      </c>
      <c r="F142" s="22">
        <v>106219</v>
      </c>
      <c r="G142" s="9">
        <v>424876</v>
      </c>
      <c r="H142" s="9">
        <v>415332</v>
      </c>
      <c r="I142" s="23">
        <v>7110000</v>
      </c>
      <c r="J142" s="23">
        <v>7190000</v>
      </c>
      <c r="K142" s="26" t="s">
        <v>9</v>
      </c>
      <c r="L142" s="28">
        <v>5728498</v>
      </c>
      <c r="M142" s="10">
        <v>0.8056959212376934</v>
      </c>
      <c r="N142" s="11">
        <v>5.9757524613220814E-2</v>
      </c>
      <c r="O142" s="130">
        <v>374332</v>
      </c>
      <c r="P142" s="131">
        <v>2013</v>
      </c>
    </row>
    <row r="143" spans="1:16" s="148" customFormat="1" ht="14.4" x14ac:dyDescent="0.3">
      <c r="A143" s="6">
        <v>47</v>
      </c>
      <c r="B143" s="7" t="s">
        <v>5</v>
      </c>
      <c r="C143" s="8" t="s">
        <v>46</v>
      </c>
      <c r="D143" s="152">
        <v>2442</v>
      </c>
      <c r="E143" s="12">
        <v>45961</v>
      </c>
      <c r="F143" s="22">
        <v>126571.5</v>
      </c>
      <c r="G143" s="9">
        <v>506286</v>
      </c>
      <c r="H143" s="9">
        <v>457500</v>
      </c>
      <c r="I143" s="23">
        <v>8761567</v>
      </c>
      <c r="J143" s="23">
        <v>7740000</v>
      </c>
      <c r="K143" s="26" t="s">
        <v>9</v>
      </c>
      <c r="L143" s="28">
        <v>6402439</v>
      </c>
      <c r="M143" s="10">
        <v>0.73074131602257908</v>
      </c>
      <c r="N143" s="11">
        <v>5.7784868848232286E-2</v>
      </c>
      <c r="O143" s="130">
        <v>534683</v>
      </c>
      <c r="P143" s="131">
        <v>2011</v>
      </c>
    </row>
    <row r="144" spans="1:16" s="148" customFormat="1" ht="14.4" x14ac:dyDescent="0.3">
      <c r="A144" s="6">
        <v>49</v>
      </c>
      <c r="B144" s="7" t="s">
        <v>5</v>
      </c>
      <c r="C144" s="8" t="s">
        <v>46</v>
      </c>
      <c r="D144" s="152">
        <v>4636</v>
      </c>
      <c r="E144" s="12">
        <v>47422</v>
      </c>
      <c r="F144" s="22">
        <v>388621.5</v>
      </c>
      <c r="G144" s="9">
        <v>1554486</v>
      </c>
      <c r="H144" s="9">
        <v>1491273</v>
      </c>
      <c r="I144" s="23">
        <v>32879825</v>
      </c>
      <c r="J144" s="23">
        <v>28190000</v>
      </c>
      <c r="K144" s="26" t="s">
        <v>7</v>
      </c>
      <c r="L144" s="28">
        <v>22967601</v>
      </c>
      <c r="M144" s="10">
        <v>0.69853172880330117</v>
      </c>
      <c r="N144" s="11">
        <v>4.7277806375185999E-2</v>
      </c>
      <c r="O144" s="130">
        <v>1593044</v>
      </c>
      <c r="P144" s="131">
        <v>2011</v>
      </c>
    </row>
    <row r="145" spans="1:16" s="148" customFormat="1" ht="14.4" x14ac:dyDescent="0.3">
      <c r="A145" s="6">
        <v>50</v>
      </c>
      <c r="B145" s="7" t="s">
        <v>5</v>
      </c>
      <c r="C145" s="8" t="s">
        <v>47</v>
      </c>
      <c r="D145" s="152">
        <v>2787</v>
      </c>
      <c r="E145" s="12">
        <v>45596</v>
      </c>
      <c r="F145" s="22">
        <v>80617.5</v>
      </c>
      <c r="G145" s="9">
        <v>322470</v>
      </c>
      <c r="H145" s="9">
        <v>308281</v>
      </c>
      <c r="I145" s="23">
        <v>4593283</v>
      </c>
      <c r="J145" s="23">
        <v>3755000</v>
      </c>
      <c r="K145" s="26" t="s">
        <v>14</v>
      </c>
      <c r="L145" s="28">
        <v>3699017</v>
      </c>
      <c r="M145" s="10">
        <v>0.80531005818713974</v>
      </c>
      <c r="N145" s="11">
        <v>7.0204688019440561E-2</v>
      </c>
      <c r="O145" s="130">
        <v>272998</v>
      </c>
      <c r="P145" s="131">
        <v>2011</v>
      </c>
    </row>
    <row r="146" spans="1:16" s="148" customFormat="1" ht="14.4" x14ac:dyDescent="0.3">
      <c r="A146" s="6">
        <v>51</v>
      </c>
      <c r="B146" s="7" t="s">
        <v>5</v>
      </c>
      <c r="C146" s="8" t="s">
        <v>48</v>
      </c>
      <c r="D146" s="152">
        <v>5025</v>
      </c>
      <c r="E146" s="12">
        <v>46326</v>
      </c>
      <c r="F146" s="22">
        <v>164508.75</v>
      </c>
      <c r="G146" s="9">
        <v>658035</v>
      </c>
      <c r="H146" s="9">
        <v>635683</v>
      </c>
      <c r="I146" s="23">
        <v>11727441</v>
      </c>
      <c r="J146" s="23">
        <v>10200000</v>
      </c>
      <c r="K146" s="26" t="s">
        <v>7</v>
      </c>
      <c r="L146" s="28">
        <v>9151812</v>
      </c>
      <c r="M146" s="10">
        <v>0.7803758722810884</v>
      </c>
      <c r="N146" s="11">
        <v>5.6110706504513642E-2</v>
      </c>
      <c r="O146" s="130">
        <v>642392</v>
      </c>
      <c r="P146" s="131">
        <v>2012</v>
      </c>
    </row>
    <row r="147" spans="1:16" s="148" customFormat="1" ht="14.4" x14ac:dyDescent="0.3">
      <c r="A147" s="6">
        <v>52</v>
      </c>
      <c r="B147" s="7" t="s">
        <v>5</v>
      </c>
      <c r="C147" s="8" t="s">
        <v>49</v>
      </c>
      <c r="D147" s="152">
        <v>3348</v>
      </c>
      <c r="E147" s="12">
        <v>46691</v>
      </c>
      <c r="F147" s="22">
        <v>215488</v>
      </c>
      <c r="G147" s="9">
        <v>861952</v>
      </c>
      <c r="H147" s="9">
        <v>834172</v>
      </c>
      <c r="I147" s="23">
        <v>14000000</v>
      </c>
      <c r="J147" s="23">
        <v>12570000</v>
      </c>
      <c r="K147" s="26" t="s">
        <v>7</v>
      </c>
      <c r="L147" s="28">
        <v>10285258</v>
      </c>
      <c r="M147" s="10">
        <v>0.73466128571428568</v>
      </c>
      <c r="N147" s="11">
        <v>6.1567999999999998E-2</v>
      </c>
      <c r="O147" s="130">
        <v>760292</v>
      </c>
      <c r="P147" s="131">
        <v>2013</v>
      </c>
    </row>
    <row r="148" spans="1:16" s="148" customFormat="1" ht="14.4" x14ac:dyDescent="0.3">
      <c r="A148" s="6">
        <v>53</v>
      </c>
      <c r="B148" s="7" t="s">
        <v>5</v>
      </c>
      <c r="C148" s="8" t="s">
        <v>49</v>
      </c>
      <c r="D148" s="152">
        <v>4218</v>
      </c>
      <c r="E148" s="12">
        <v>47787</v>
      </c>
      <c r="F148" s="22">
        <v>289915.75</v>
      </c>
      <c r="G148" s="9">
        <v>1159663</v>
      </c>
      <c r="H148" s="9">
        <v>1109773</v>
      </c>
      <c r="I148" s="23">
        <v>26044975</v>
      </c>
      <c r="J148" s="23">
        <v>28060000</v>
      </c>
      <c r="K148" s="26" t="s">
        <v>9</v>
      </c>
      <c r="L148" s="28">
        <v>19636189</v>
      </c>
      <c r="M148" s="10">
        <v>0.75393387784015919</v>
      </c>
      <c r="N148" s="11">
        <v>4.4525402692841901E-2</v>
      </c>
      <c r="O148" s="130">
        <v>1665360</v>
      </c>
      <c r="P148" s="131">
        <v>2011</v>
      </c>
    </row>
    <row r="149" spans="1:16" s="148" customFormat="1" ht="14.4" x14ac:dyDescent="0.3">
      <c r="A149" s="6">
        <v>55</v>
      </c>
      <c r="B149" s="7" t="s">
        <v>5</v>
      </c>
      <c r="C149" s="8" t="s">
        <v>51</v>
      </c>
      <c r="D149" s="152">
        <v>3272</v>
      </c>
      <c r="E149" s="12">
        <v>42308</v>
      </c>
      <c r="F149" s="22">
        <v>99560</v>
      </c>
      <c r="G149" s="9">
        <v>398240</v>
      </c>
      <c r="H149" s="9">
        <v>375298</v>
      </c>
      <c r="I149" s="23">
        <v>5455000</v>
      </c>
      <c r="J149" s="23">
        <v>5780000</v>
      </c>
      <c r="K149" s="26" t="s">
        <v>7</v>
      </c>
      <c r="L149" s="28">
        <v>5368552</v>
      </c>
      <c r="M149" s="10">
        <v>0.9841525206232814</v>
      </c>
      <c r="N149" s="11">
        <v>7.3004582951420718E-2</v>
      </c>
      <c r="O149" s="130">
        <v>340840</v>
      </c>
      <c r="P149" s="131">
        <v>2013</v>
      </c>
    </row>
    <row r="150" spans="1:16" s="148" customFormat="1" ht="14.4" x14ac:dyDescent="0.3">
      <c r="A150" s="6">
        <v>56</v>
      </c>
      <c r="B150" s="7" t="s">
        <v>5</v>
      </c>
      <c r="C150" s="8" t="s">
        <v>52</v>
      </c>
      <c r="D150" s="152">
        <v>1877</v>
      </c>
      <c r="E150" s="12">
        <v>46326</v>
      </c>
      <c r="F150" s="22">
        <v>127357</v>
      </c>
      <c r="G150" s="9">
        <v>509428</v>
      </c>
      <c r="H150" s="9">
        <v>450944</v>
      </c>
      <c r="I150" s="23">
        <v>9162534</v>
      </c>
      <c r="J150" s="23">
        <v>7645000</v>
      </c>
      <c r="K150" s="26" t="s">
        <v>7</v>
      </c>
      <c r="L150" s="28">
        <v>7045746</v>
      </c>
      <c r="M150" s="10">
        <v>0.76897351758803845</v>
      </c>
      <c r="N150" s="11">
        <v>5.5599029700735624E-2</v>
      </c>
      <c r="O150" s="130">
        <v>462798</v>
      </c>
      <c r="P150" s="131">
        <v>2011</v>
      </c>
    </row>
    <row r="151" spans="1:16" s="148" customFormat="1" ht="14.4" x14ac:dyDescent="0.3">
      <c r="A151" s="6">
        <v>57</v>
      </c>
      <c r="B151" s="7" t="s">
        <v>5</v>
      </c>
      <c r="C151" s="8" t="s">
        <v>53</v>
      </c>
      <c r="D151" s="152">
        <v>3930</v>
      </c>
      <c r="E151" s="12">
        <v>45596</v>
      </c>
      <c r="F151" s="22">
        <v>132135.25</v>
      </c>
      <c r="G151" s="9">
        <v>528541</v>
      </c>
      <c r="H151" s="9">
        <v>513820</v>
      </c>
      <c r="I151" s="23">
        <v>9217285</v>
      </c>
      <c r="J151" s="23">
        <v>8585000</v>
      </c>
      <c r="K151" s="26" t="s">
        <v>7</v>
      </c>
      <c r="L151" s="28">
        <v>7175939</v>
      </c>
      <c r="M151" s="10">
        <v>0.77853066277108718</v>
      </c>
      <c r="N151" s="11">
        <v>5.7342373594827543E-2</v>
      </c>
      <c r="O151" s="130">
        <v>551263</v>
      </c>
      <c r="P151" s="131">
        <v>2011</v>
      </c>
    </row>
    <row r="152" spans="1:16" s="148" customFormat="1" ht="14.4" x14ac:dyDescent="0.3">
      <c r="A152" s="6">
        <v>58</v>
      </c>
      <c r="B152" s="7" t="s">
        <v>54</v>
      </c>
      <c r="C152" s="8" t="s">
        <v>13</v>
      </c>
      <c r="D152" s="152">
        <v>9290</v>
      </c>
      <c r="E152" s="12">
        <v>46326</v>
      </c>
      <c r="F152" s="22">
        <v>526854</v>
      </c>
      <c r="G152" s="9">
        <v>2107416</v>
      </c>
      <c r="H152" s="9">
        <v>1959268</v>
      </c>
      <c r="I152" s="23">
        <v>42936681</v>
      </c>
      <c r="J152" s="23">
        <v>48920000</v>
      </c>
      <c r="K152" s="26" t="s">
        <v>9</v>
      </c>
      <c r="L152" s="28">
        <v>29163263</v>
      </c>
      <c r="M152" s="10">
        <v>0.6792155872504444</v>
      </c>
      <c r="N152" s="11">
        <v>4.9081949301111559E-2</v>
      </c>
      <c r="O152" s="130">
        <v>3691261</v>
      </c>
      <c r="P152" s="131">
        <v>2011</v>
      </c>
    </row>
    <row r="153" spans="1:16" s="148" customFormat="1" ht="14.4" x14ac:dyDescent="0.3">
      <c r="A153" s="6">
        <v>60</v>
      </c>
      <c r="B153" s="7" t="s">
        <v>54</v>
      </c>
      <c r="C153" s="8" t="s">
        <v>23</v>
      </c>
      <c r="D153" s="152">
        <v>27728</v>
      </c>
      <c r="E153" s="12">
        <v>47057</v>
      </c>
      <c r="F153" s="22">
        <v>870910</v>
      </c>
      <c r="G153" s="9">
        <v>3483640</v>
      </c>
      <c r="H153" s="9">
        <v>3334371</v>
      </c>
      <c r="I153" s="23">
        <v>62196720</v>
      </c>
      <c r="J153" s="23">
        <v>60800000</v>
      </c>
      <c r="K153" s="26" t="s">
        <v>7</v>
      </c>
      <c r="L153" s="28">
        <v>46371732</v>
      </c>
      <c r="M153" s="10">
        <v>0.74556555393917878</v>
      </c>
      <c r="N153" s="11">
        <v>5.601002753842968E-2</v>
      </c>
      <c r="O153" s="130">
        <v>4246228</v>
      </c>
      <c r="P153" s="131">
        <v>2012</v>
      </c>
    </row>
    <row r="154" spans="1:16" s="148" customFormat="1" ht="14.4" x14ac:dyDescent="0.3">
      <c r="A154" s="6">
        <v>61</v>
      </c>
      <c r="B154" s="7" t="s">
        <v>54</v>
      </c>
      <c r="C154" s="8" t="s">
        <v>33</v>
      </c>
      <c r="D154" s="152">
        <v>17677</v>
      </c>
      <c r="E154" s="12">
        <v>45961</v>
      </c>
      <c r="F154" s="22">
        <v>458694.75</v>
      </c>
      <c r="G154" s="9">
        <v>1834779</v>
      </c>
      <c r="H154" s="9">
        <v>1501903</v>
      </c>
      <c r="I154" s="23">
        <v>29706531</v>
      </c>
      <c r="J154" s="23">
        <v>23800000</v>
      </c>
      <c r="K154" s="26" t="s">
        <v>9</v>
      </c>
      <c r="L154" s="28">
        <v>21382308</v>
      </c>
      <c r="M154" s="10">
        <v>0.71978475036348066</v>
      </c>
      <c r="N154" s="11">
        <v>6.1763488978231758E-2</v>
      </c>
      <c r="O154" s="130">
        <v>1727564</v>
      </c>
      <c r="P154" s="131">
        <v>2012</v>
      </c>
    </row>
    <row r="155" spans="1:16" s="148" customFormat="1" ht="14.4" x14ac:dyDescent="0.3">
      <c r="A155" s="6">
        <v>62</v>
      </c>
      <c r="B155" s="7" t="s">
        <v>54</v>
      </c>
      <c r="C155" s="8" t="s">
        <v>42</v>
      </c>
      <c r="D155" s="152">
        <v>11547</v>
      </c>
      <c r="E155" s="12">
        <v>44500</v>
      </c>
      <c r="F155" s="22">
        <v>491957.5</v>
      </c>
      <c r="G155" s="9">
        <v>1967830</v>
      </c>
      <c r="H155" s="9">
        <v>1832615</v>
      </c>
      <c r="I155" s="23">
        <v>36340000</v>
      </c>
      <c r="J155" s="23">
        <v>40620000</v>
      </c>
      <c r="K155" s="26" t="s">
        <v>7</v>
      </c>
      <c r="L155" s="28">
        <v>27853673</v>
      </c>
      <c r="M155" s="10">
        <v>0.76647421574023111</v>
      </c>
      <c r="N155" s="11">
        <v>5.4150522839845901E-2</v>
      </c>
      <c r="O155" s="130">
        <v>1988630</v>
      </c>
      <c r="P155" s="131">
        <v>2013</v>
      </c>
    </row>
    <row r="156" spans="1:16" s="148" customFormat="1" ht="14.4" x14ac:dyDescent="0.3">
      <c r="A156" s="6">
        <v>63</v>
      </c>
      <c r="B156" s="7" t="s">
        <v>54</v>
      </c>
      <c r="C156" s="8" t="s">
        <v>43</v>
      </c>
      <c r="D156" s="152">
        <v>18639</v>
      </c>
      <c r="E156" s="12">
        <v>46691</v>
      </c>
      <c r="F156" s="22">
        <v>662593</v>
      </c>
      <c r="G156" s="9">
        <v>2650372</v>
      </c>
      <c r="H156" s="9">
        <v>2520297</v>
      </c>
      <c r="I156" s="23">
        <v>43850000</v>
      </c>
      <c r="J156" s="23">
        <v>42060000</v>
      </c>
      <c r="K156" s="26" t="s">
        <v>7</v>
      </c>
      <c r="L156" s="28">
        <v>26712569</v>
      </c>
      <c r="M156" s="10">
        <v>0.60918059293044469</v>
      </c>
      <c r="N156" s="11">
        <v>6.044177879133409E-2</v>
      </c>
      <c r="O156" s="130">
        <v>2325763</v>
      </c>
      <c r="P156" s="131">
        <v>2013</v>
      </c>
    </row>
    <row r="157" spans="1:16" s="148" customFormat="1" ht="14.4" x14ac:dyDescent="0.3">
      <c r="A157" s="6">
        <v>65</v>
      </c>
      <c r="B157" s="7" t="s">
        <v>55</v>
      </c>
      <c r="C157" s="8" t="s">
        <v>13</v>
      </c>
      <c r="D157" s="152">
        <v>28382</v>
      </c>
      <c r="E157" s="12">
        <v>47787</v>
      </c>
      <c r="F157" s="22">
        <v>1497873.75</v>
      </c>
      <c r="G157" s="9">
        <v>5991495</v>
      </c>
      <c r="H157" s="9">
        <v>5743725</v>
      </c>
      <c r="I157" s="23">
        <v>123672884</v>
      </c>
      <c r="J157" s="23">
        <v>125800000</v>
      </c>
      <c r="K157" s="26" t="s">
        <v>9</v>
      </c>
      <c r="L157" s="28">
        <v>84257936</v>
      </c>
      <c r="M157" s="10">
        <v>0.68129676671888717</v>
      </c>
      <c r="N157" s="11">
        <v>4.844631099570703E-2</v>
      </c>
      <c r="O157" s="130">
        <v>7323355</v>
      </c>
      <c r="P157" s="131">
        <v>2012</v>
      </c>
    </row>
    <row r="158" spans="1:16" s="148" customFormat="1" ht="14.4" x14ac:dyDescent="0.3">
      <c r="A158" s="6">
        <v>66</v>
      </c>
      <c r="B158" s="7" t="s">
        <v>55</v>
      </c>
      <c r="C158" s="8" t="s">
        <v>13</v>
      </c>
      <c r="D158" s="152">
        <v>15137</v>
      </c>
      <c r="E158" s="12">
        <v>47787</v>
      </c>
      <c r="F158" s="22">
        <v>798636.25</v>
      </c>
      <c r="G158" s="9">
        <v>3194545</v>
      </c>
      <c r="H158" s="9">
        <v>3102477</v>
      </c>
      <c r="I158" s="23">
        <v>62998573</v>
      </c>
      <c r="J158" s="23">
        <v>66000000</v>
      </c>
      <c r="K158" s="26" t="s">
        <v>9</v>
      </c>
      <c r="L158" s="28">
        <v>43193488</v>
      </c>
      <c r="M158" s="10">
        <v>0.68562645061817507</v>
      </c>
      <c r="N158" s="11">
        <v>5.0708212073311568E-2</v>
      </c>
      <c r="O158" s="130">
        <v>5815676</v>
      </c>
      <c r="P158" s="131">
        <v>2012</v>
      </c>
    </row>
    <row r="159" spans="1:16" s="148" customFormat="1" ht="14.4" x14ac:dyDescent="0.3">
      <c r="A159" s="6">
        <v>67</v>
      </c>
      <c r="B159" s="7" t="s">
        <v>56</v>
      </c>
      <c r="C159" s="8" t="s">
        <v>16</v>
      </c>
      <c r="D159" s="152">
        <v>12981</v>
      </c>
      <c r="E159" s="12">
        <v>47149</v>
      </c>
      <c r="F159" s="22">
        <v>543255.25</v>
      </c>
      <c r="G159" s="9">
        <v>2173021</v>
      </c>
      <c r="H159" s="9">
        <v>2104021</v>
      </c>
      <c r="I159" s="23">
        <v>38900000</v>
      </c>
      <c r="J159" s="23">
        <v>36330000</v>
      </c>
      <c r="K159" s="26" t="s">
        <v>7</v>
      </c>
      <c r="L159" s="28">
        <v>27455435</v>
      </c>
      <c r="M159" s="10">
        <v>0.70579524421593831</v>
      </c>
      <c r="N159" s="11">
        <v>5.5861722365038557E-2</v>
      </c>
      <c r="O159" s="130">
        <v>2133632</v>
      </c>
      <c r="P159" s="131">
        <v>2013</v>
      </c>
    </row>
    <row r="160" spans="1:16" s="148" customFormat="1" ht="14.4" x14ac:dyDescent="0.3">
      <c r="A160" s="6">
        <v>70</v>
      </c>
      <c r="B160" s="7" t="s">
        <v>55</v>
      </c>
      <c r="C160" s="8" t="s">
        <v>57</v>
      </c>
      <c r="D160" s="152">
        <v>19074</v>
      </c>
      <c r="E160" s="12">
        <v>44135</v>
      </c>
      <c r="F160" s="22">
        <v>694195</v>
      </c>
      <c r="G160" s="9">
        <v>2776780</v>
      </c>
      <c r="H160" s="9">
        <v>2620072</v>
      </c>
      <c r="I160" s="23">
        <v>48170419</v>
      </c>
      <c r="J160" s="23">
        <v>47000000</v>
      </c>
      <c r="K160" s="26" t="s">
        <v>7</v>
      </c>
      <c r="L160" s="28">
        <v>37158653</v>
      </c>
      <c r="M160" s="10">
        <v>0.77139982942643703</v>
      </c>
      <c r="N160" s="11">
        <v>5.7644921045839355E-2</v>
      </c>
      <c r="O160" s="130">
        <v>2958300</v>
      </c>
      <c r="P160" s="131">
        <v>2012</v>
      </c>
    </row>
    <row r="161" spans="1:16" s="148" customFormat="1" ht="14.4" x14ac:dyDescent="0.3">
      <c r="A161" s="6">
        <v>71</v>
      </c>
      <c r="B161" s="7" t="s">
        <v>55</v>
      </c>
      <c r="C161" s="8" t="s">
        <v>46</v>
      </c>
      <c r="D161" s="152">
        <v>14279</v>
      </c>
      <c r="E161" s="12">
        <v>47057</v>
      </c>
      <c r="F161" s="22">
        <v>423330.75</v>
      </c>
      <c r="G161" s="9">
        <v>1693323</v>
      </c>
      <c r="H161" s="9">
        <v>1499832</v>
      </c>
      <c r="I161" s="23">
        <v>29015000</v>
      </c>
      <c r="J161" s="23">
        <v>44700000</v>
      </c>
      <c r="K161" s="26" t="s">
        <v>14</v>
      </c>
      <c r="L161" s="28">
        <v>22837408</v>
      </c>
      <c r="M161" s="10">
        <v>0.78708971221781832</v>
      </c>
      <c r="N161" s="11">
        <v>5.8360261933482684E-2</v>
      </c>
      <c r="O161" s="130">
        <v>2368455</v>
      </c>
      <c r="P161" s="131">
        <v>2013</v>
      </c>
    </row>
    <row r="162" spans="1:16" s="148" customFormat="1" ht="14.4" x14ac:dyDescent="0.3">
      <c r="A162" s="6">
        <v>72</v>
      </c>
      <c r="B162" s="7" t="s">
        <v>55</v>
      </c>
      <c r="C162" s="8" t="s">
        <v>46</v>
      </c>
      <c r="D162" s="152">
        <v>29229</v>
      </c>
      <c r="E162" s="12">
        <v>47057</v>
      </c>
      <c r="F162" s="22">
        <v>1370355.75</v>
      </c>
      <c r="G162" s="9">
        <v>5481423</v>
      </c>
      <c r="H162" s="9">
        <v>5271428</v>
      </c>
      <c r="I162" s="23">
        <v>107740000</v>
      </c>
      <c r="J162" s="23">
        <v>105810000</v>
      </c>
      <c r="K162" s="26" t="s">
        <v>14</v>
      </c>
      <c r="L162" s="28">
        <v>76852244</v>
      </c>
      <c r="M162" s="10">
        <v>0.71331208464822726</v>
      </c>
      <c r="N162" s="11">
        <v>5.0876396881381104E-2</v>
      </c>
      <c r="O162" s="130">
        <v>5208008</v>
      </c>
      <c r="P162" s="131">
        <v>2013</v>
      </c>
    </row>
    <row r="163" spans="1:16" s="148" customFormat="1" ht="14.4" x14ac:dyDescent="0.3">
      <c r="A163" s="6">
        <v>73</v>
      </c>
      <c r="B163" s="7" t="s">
        <v>55</v>
      </c>
      <c r="C163" s="8" t="s">
        <v>42</v>
      </c>
      <c r="D163" s="152">
        <v>9443</v>
      </c>
      <c r="E163" s="12">
        <v>44500</v>
      </c>
      <c r="F163" s="22">
        <v>528485.25</v>
      </c>
      <c r="G163" s="9">
        <v>2113941</v>
      </c>
      <c r="H163" s="9">
        <v>2033923</v>
      </c>
      <c r="I163" s="23">
        <v>38336557</v>
      </c>
      <c r="J163" s="23">
        <v>33525000</v>
      </c>
      <c r="K163" s="26" t="s">
        <v>7</v>
      </c>
      <c r="L163" s="28">
        <v>30243100</v>
      </c>
      <c r="M163" s="10">
        <v>0.78888409306031315</v>
      </c>
      <c r="N163" s="11">
        <v>5.5141649783521249E-2</v>
      </c>
      <c r="O163" s="130">
        <v>2008642</v>
      </c>
      <c r="P163" s="131">
        <v>2011</v>
      </c>
    </row>
    <row r="164" spans="1:16" s="148" customFormat="1" ht="14.4" x14ac:dyDescent="0.3">
      <c r="A164" s="6">
        <v>74</v>
      </c>
      <c r="B164" s="7" t="s">
        <v>58</v>
      </c>
      <c r="C164" s="8" t="s">
        <v>59</v>
      </c>
      <c r="D164" s="152">
        <v>357</v>
      </c>
      <c r="E164" s="12">
        <v>44269</v>
      </c>
      <c r="F164" s="22">
        <v>60190.5</v>
      </c>
      <c r="G164" s="9">
        <v>240762</v>
      </c>
      <c r="H164" s="9">
        <v>232971</v>
      </c>
      <c r="I164" s="23">
        <v>2559610</v>
      </c>
      <c r="J164" s="23">
        <v>3385000</v>
      </c>
      <c r="K164" s="26" t="s">
        <v>60</v>
      </c>
      <c r="L164" s="28">
        <v>0</v>
      </c>
      <c r="M164" s="10">
        <v>0</v>
      </c>
      <c r="N164" s="11">
        <v>9.4061986005680553E-2</v>
      </c>
      <c r="O164" s="130">
        <v>310640</v>
      </c>
      <c r="P164" s="131">
        <v>2011</v>
      </c>
    </row>
    <row r="165" spans="1:16" s="148" customFormat="1" ht="14.4" x14ac:dyDescent="0.3">
      <c r="A165" s="6"/>
      <c r="B165" s="7"/>
      <c r="C165" s="8"/>
      <c r="D165" s="152"/>
      <c r="E165" s="12"/>
      <c r="F165" s="22"/>
      <c r="G165" s="9"/>
      <c r="H165" s="9"/>
      <c r="I165" s="23"/>
      <c r="J165" s="23"/>
      <c r="K165" s="26"/>
      <c r="L165" s="28"/>
      <c r="M165" s="10"/>
      <c r="N165" s="11"/>
      <c r="O165" s="130"/>
      <c r="P165" s="131"/>
    </row>
    <row r="166" spans="1:16" s="148" customFormat="1" x14ac:dyDescent="0.2">
      <c r="A166" s="14"/>
      <c r="B166" s="14" t="s">
        <v>62</v>
      </c>
      <c r="C166" s="14"/>
      <c r="D166" s="132">
        <v>356032</v>
      </c>
      <c r="E166" s="16">
        <v>46254.458194011408</v>
      </c>
      <c r="F166" s="19">
        <v>15646915</v>
      </c>
      <c r="G166" s="19">
        <v>62587660</v>
      </c>
      <c r="H166" s="19">
        <v>59325332</v>
      </c>
      <c r="I166" s="19">
        <v>1148155382</v>
      </c>
      <c r="J166" s="19">
        <v>1107665000</v>
      </c>
      <c r="K166" s="19"/>
      <c r="L166" s="19">
        <v>831367429</v>
      </c>
      <c r="M166" s="15">
        <v>0.72408965026303385</v>
      </c>
      <c r="N166" s="15">
        <v>5.4511489456224138E-2</v>
      </c>
      <c r="O166" s="132">
        <v>69092937</v>
      </c>
      <c r="P166" s="132"/>
    </row>
    <row r="167" spans="1:16" s="148" customFormat="1" ht="14.4" x14ac:dyDescent="0.3">
      <c r="A167" s="6"/>
      <c r="B167" s="7"/>
      <c r="C167" s="8"/>
      <c r="D167" s="152"/>
      <c r="E167" s="12"/>
      <c r="F167" s="22"/>
      <c r="G167" s="9"/>
      <c r="H167" s="9"/>
      <c r="I167" s="23"/>
      <c r="J167" s="23"/>
      <c r="K167" s="26"/>
      <c r="L167" s="28"/>
      <c r="M167" s="10"/>
      <c r="N167" s="11"/>
      <c r="O167" s="130"/>
      <c r="P167" s="131"/>
    </row>
    <row r="168" spans="1:16" s="148" customFormat="1" ht="14.4" x14ac:dyDescent="0.3">
      <c r="A168" s="6" t="s">
        <v>73</v>
      </c>
      <c r="B168" s="7"/>
      <c r="C168" s="8"/>
      <c r="D168" s="152"/>
      <c r="E168" s="12"/>
      <c r="F168" s="22"/>
      <c r="G168" s="9"/>
      <c r="H168" s="9"/>
      <c r="I168" s="23"/>
      <c r="J168" s="23"/>
      <c r="K168" s="26"/>
      <c r="L168" s="28"/>
      <c r="M168" s="10"/>
      <c r="N168" s="11"/>
      <c r="O168" s="130"/>
      <c r="P168" s="131"/>
    </row>
    <row r="169" spans="1:16" s="148" customFormat="1" ht="14.4" x14ac:dyDescent="0.3">
      <c r="A169" s="6"/>
      <c r="B169" s="7"/>
      <c r="C169" s="8"/>
      <c r="D169" s="152"/>
      <c r="E169" s="12"/>
      <c r="F169" s="22"/>
      <c r="G169" s="9"/>
      <c r="H169" s="9"/>
      <c r="I169" s="23"/>
      <c r="J169" s="23"/>
      <c r="K169" s="26"/>
      <c r="L169" s="28"/>
      <c r="M169" s="10"/>
      <c r="N169" s="11"/>
      <c r="O169" s="130"/>
      <c r="P169" s="131"/>
    </row>
    <row r="170" spans="1:16" s="148" customFormat="1" ht="14.4" x14ac:dyDescent="0.3">
      <c r="A170" s="6"/>
      <c r="B170" s="7"/>
      <c r="C170" s="8"/>
      <c r="D170" s="152"/>
      <c r="E170" s="12"/>
      <c r="F170" s="22"/>
      <c r="G170" s="9"/>
      <c r="H170" s="9"/>
      <c r="I170" s="23"/>
      <c r="J170" s="23"/>
      <c r="K170" s="26"/>
      <c r="L170" s="28"/>
      <c r="M170" s="10"/>
      <c r="N170" s="11"/>
      <c r="O170" s="130"/>
      <c r="P170" s="131"/>
    </row>
    <row r="171" spans="1:16" s="148" customFormat="1" ht="14.4" x14ac:dyDescent="0.3">
      <c r="A171" s="6"/>
      <c r="B171" s="7"/>
      <c r="C171" s="8"/>
      <c r="D171" s="152"/>
      <c r="E171" s="12"/>
      <c r="F171" s="22"/>
      <c r="G171" s="9"/>
      <c r="H171" s="9"/>
      <c r="I171" s="23"/>
      <c r="J171" s="23"/>
      <c r="K171" s="26"/>
      <c r="L171" s="28"/>
      <c r="M171" s="10"/>
      <c r="N171" s="11"/>
      <c r="O171" s="130"/>
      <c r="P171" s="131"/>
    </row>
    <row r="172" spans="1:16" s="148" customFormat="1" ht="14.4" x14ac:dyDescent="0.3">
      <c r="A172" s="6"/>
      <c r="B172" s="7"/>
      <c r="C172" s="8"/>
      <c r="D172" s="152"/>
      <c r="E172" s="12"/>
      <c r="F172" s="22"/>
      <c r="G172" s="9"/>
      <c r="H172" s="9"/>
      <c r="I172" s="23"/>
      <c r="J172" s="23"/>
      <c r="K172" s="26"/>
      <c r="L172" s="28"/>
      <c r="M172" s="10"/>
      <c r="N172" s="11"/>
      <c r="O172" s="130"/>
      <c r="P172" s="131"/>
    </row>
    <row r="173" spans="1:16" s="148" customFormat="1" ht="14.4" x14ac:dyDescent="0.3">
      <c r="A173" s="6"/>
      <c r="B173" s="7"/>
      <c r="C173" s="8"/>
      <c r="D173" s="152"/>
      <c r="E173" s="12"/>
      <c r="F173" s="22"/>
      <c r="G173" s="9"/>
      <c r="H173" s="9"/>
      <c r="I173" s="23"/>
      <c r="J173" s="23"/>
      <c r="K173" s="26"/>
      <c r="L173" s="28"/>
      <c r="M173" s="10"/>
      <c r="N173" s="11"/>
      <c r="O173" s="130"/>
      <c r="P173" s="131"/>
    </row>
    <row r="174" spans="1:16" s="148" customFormat="1" ht="14.4" x14ac:dyDescent="0.3">
      <c r="A174" s="6"/>
      <c r="B174" s="7"/>
      <c r="C174" s="8"/>
      <c r="D174" s="152"/>
      <c r="E174" s="12"/>
      <c r="F174" s="22"/>
      <c r="G174" s="9"/>
      <c r="H174" s="9"/>
      <c r="I174" s="23"/>
      <c r="J174" s="23"/>
      <c r="K174" s="26"/>
      <c r="L174" s="28"/>
      <c r="M174" s="10"/>
      <c r="N174" s="11"/>
      <c r="O174" s="130"/>
      <c r="P174" s="131"/>
    </row>
    <row r="175" spans="1:16" s="148" customFormat="1" ht="14.4" x14ac:dyDescent="0.3">
      <c r="A175" s="6"/>
      <c r="B175" s="7"/>
      <c r="C175" s="8"/>
      <c r="D175" s="152"/>
      <c r="E175" s="12"/>
      <c r="F175" s="22"/>
      <c r="G175" s="9"/>
      <c r="H175" s="9"/>
      <c r="I175" s="23"/>
      <c r="J175" s="23"/>
      <c r="K175" s="26"/>
      <c r="L175" s="28"/>
      <c r="M175" s="10"/>
      <c r="N175" s="11"/>
      <c r="O175" s="130"/>
      <c r="P175" s="131"/>
    </row>
    <row r="176" spans="1:16" s="148" customFormat="1" ht="14.4" x14ac:dyDescent="0.3">
      <c r="A176" s="6"/>
      <c r="B176" s="7"/>
      <c r="C176" s="8"/>
      <c r="D176" s="152"/>
      <c r="E176" s="12"/>
      <c r="F176" s="22"/>
      <c r="G176" s="9"/>
      <c r="H176" s="9"/>
      <c r="I176" s="23"/>
      <c r="J176" s="23"/>
      <c r="K176" s="26"/>
      <c r="L176" s="28"/>
      <c r="M176" s="10"/>
      <c r="N176" s="11"/>
      <c r="O176" s="130"/>
      <c r="P176" s="131"/>
    </row>
    <row r="177" spans="1:16" s="148" customFormat="1" ht="14.4" x14ac:dyDescent="0.3">
      <c r="A177" s="6"/>
      <c r="B177" s="7"/>
      <c r="C177" s="8"/>
      <c r="D177" s="152"/>
      <c r="E177" s="12"/>
      <c r="F177" s="22"/>
      <c r="G177" s="9"/>
      <c r="H177" s="9"/>
      <c r="I177" s="23"/>
      <c r="J177" s="23"/>
      <c r="K177" s="26"/>
      <c r="L177" s="28"/>
      <c r="M177" s="10"/>
      <c r="N177" s="11"/>
      <c r="O177" s="130"/>
      <c r="P177" s="131"/>
    </row>
    <row r="178" spans="1:16" s="148" customFormat="1" ht="14.4" x14ac:dyDescent="0.3">
      <c r="A178" s="6"/>
      <c r="B178" s="7"/>
      <c r="C178" s="8"/>
      <c r="D178" s="152"/>
      <c r="E178" s="12"/>
      <c r="F178" s="22"/>
      <c r="G178" s="9"/>
      <c r="H178" s="9"/>
      <c r="I178" s="23"/>
      <c r="J178" s="23"/>
      <c r="K178" s="26"/>
      <c r="L178" s="28"/>
      <c r="M178" s="10"/>
      <c r="N178" s="11"/>
      <c r="O178" s="130"/>
      <c r="P178" s="131"/>
    </row>
    <row r="179" spans="1:16" s="148" customFormat="1" ht="14.4" x14ac:dyDescent="0.3">
      <c r="A179" s="6"/>
      <c r="B179" s="7"/>
      <c r="C179" s="8"/>
      <c r="D179" s="152"/>
      <c r="E179" s="12"/>
      <c r="F179" s="22"/>
      <c r="G179" s="9"/>
      <c r="H179" s="9"/>
      <c r="I179" s="23"/>
      <c r="J179" s="23"/>
      <c r="K179" s="26"/>
      <c r="L179" s="28"/>
      <c r="M179" s="10"/>
      <c r="N179" s="11"/>
      <c r="O179" s="130"/>
      <c r="P179" s="131"/>
    </row>
    <row r="180" spans="1:16" s="148" customFormat="1" ht="14.4" x14ac:dyDescent="0.3">
      <c r="A180" s="6"/>
      <c r="B180" s="7"/>
      <c r="C180" s="8"/>
      <c r="D180" s="152"/>
      <c r="E180" s="12"/>
      <c r="F180" s="22"/>
      <c r="G180" s="9"/>
      <c r="H180" s="9"/>
      <c r="I180" s="23"/>
      <c r="J180" s="23"/>
      <c r="K180" s="26"/>
      <c r="L180" s="28"/>
      <c r="M180" s="10"/>
      <c r="N180" s="11"/>
      <c r="O180" s="130"/>
      <c r="P180" s="131"/>
    </row>
    <row r="181" spans="1:16" s="148" customFormat="1" ht="14.4" x14ac:dyDescent="0.3">
      <c r="A181" s="6"/>
      <c r="B181" s="7"/>
      <c r="C181" s="8"/>
      <c r="D181" s="152"/>
      <c r="E181" s="12"/>
      <c r="F181" s="22"/>
      <c r="G181" s="9"/>
      <c r="H181" s="9"/>
      <c r="I181" s="23"/>
      <c r="J181" s="23"/>
      <c r="K181" s="26"/>
      <c r="L181" s="28"/>
      <c r="M181" s="10"/>
      <c r="N181" s="11"/>
      <c r="O181" s="130"/>
      <c r="P181" s="131"/>
    </row>
    <row r="182" spans="1:16" s="148" customFormat="1" ht="14.4" x14ac:dyDescent="0.3">
      <c r="A182" s="6"/>
      <c r="B182" s="7"/>
      <c r="C182" s="8"/>
      <c r="D182" s="152"/>
      <c r="E182" s="12"/>
      <c r="F182" s="22"/>
      <c r="G182" s="9"/>
      <c r="H182" s="9"/>
      <c r="I182" s="23"/>
      <c r="J182" s="23"/>
      <c r="K182" s="26"/>
      <c r="L182" s="28"/>
      <c r="M182" s="10"/>
      <c r="N182" s="11"/>
      <c r="O182" s="130"/>
      <c r="P182" s="131"/>
    </row>
    <row r="183" spans="1:16" s="148" customFormat="1" ht="14.4" x14ac:dyDescent="0.3">
      <c r="A183" s="6"/>
      <c r="B183" s="7"/>
      <c r="C183" s="8"/>
      <c r="D183" s="152"/>
      <c r="E183" s="12"/>
      <c r="F183" s="22"/>
      <c r="G183" s="9"/>
      <c r="H183" s="9"/>
      <c r="I183" s="23"/>
      <c r="J183" s="23"/>
      <c r="K183" s="26"/>
      <c r="L183" s="28"/>
      <c r="M183" s="10"/>
      <c r="N183" s="11"/>
      <c r="O183" s="130"/>
      <c r="P183" s="131"/>
    </row>
    <row r="184" spans="1:16" s="148" customFormat="1" ht="14.4" x14ac:dyDescent="0.3">
      <c r="A184" s="6"/>
      <c r="B184" s="7"/>
      <c r="C184" s="8"/>
      <c r="D184" s="152"/>
      <c r="E184" s="12"/>
      <c r="F184" s="22"/>
      <c r="G184" s="9"/>
      <c r="H184" s="9"/>
      <c r="I184" s="23"/>
      <c r="J184" s="23"/>
      <c r="K184" s="26"/>
      <c r="L184" s="28"/>
      <c r="M184" s="10"/>
      <c r="N184" s="11"/>
      <c r="O184" s="130"/>
      <c r="P184" s="131"/>
    </row>
    <row r="185" spans="1:16" s="148" customFormat="1" ht="14.4" x14ac:dyDescent="0.3">
      <c r="A185" s="6"/>
      <c r="B185" s="7"/>
      <c r="C185" s="8"/>
      <c r="D185" s="152"/>
      <c r="E185" s="12"/>
      <c r="F185" s="22"/>
      <c r="G185" s="9"/>
      <c r="H185" s="9"/>
      <c r="I185" s="23"/>
      <c r="J185" s="23"/>
      <c r="K185" s="26"/>
      <c r="L185" s="28"/>
      <c r="M185" s="10"/>
      <c r="N185" s="11"/>
      <c r="O185" s="130"/>
      <c r="P185" s="131"/>
    </row>
    <row r="186" spans="1:16" s="148" customFormat="1" ht="14.4" x14ac:dyDescent="0.3">
      <c r="A186" s="6"/>
      <c r="B186" s="7"/>
      <c r="C186" s="8"/>
      <c r="D186" s="152"/>
      <c r="E186" s="12"/>
      <c r="F186" s="22"/>
      <c r="G186" s="9"/>
      <c r="H186" s="9"/>
      <c r="I186" s="23"/>
      <c r="J186" s="23"/>
      <c r="K186" s="26"/>
      <c r="L186" s="28"/>
      <c r="M186" s="10"/>
      <c r="N186" s="11"/>
      <c r="O186" s="130"/>
      <c r="P186" s="131"/>
    </row>
    <row r="187" spans="1:16" s="148" customFormat="1" ht="14.4" x14ac:dyDescent="0.3">
      <c r="A187" s="6"/>
      <c r="B187" s="7"/>
      <c r="C187" s="8"/>
      <c r="D187" s="152"/>
      <c r="E187" s="12"/>
      <c r="F187" s="22"/>
      <c r="G187" s="9"/>
      <c r="H187" s="9"/>
      <c r="I187" s="23"/>
      <c r="J187" s="23"/>
      <c r="K187" s="26"/>
      <c r="L187" s="28"/>
      <c r="M187" s="10"/>
      <c r="N187" s="11"/>
      <c r="O187" s="130"/>
      <c r="P187" s="131"/>
    </row>
    <row r="188" spans="1:16" s="148" customFormat="1" ht="14.4" x14ac:dyDescent="0.3">
      <c r="A188" s="6"/>
      <c r="B188" s="7"/>
      <c r="C188" s="8"/>
      <c r="D188" s="152"/>
      <c r="E188" s="12"/>
      <c r="F188" s="22"/>
      <c r="G188" s="9"/>
      <c r="H188" s="9"/>
      <c r="I188" s="23"/>
      <c r="J188" s="23"/>
      <c r="K188" s="26"/>
      <c r="L188" s="28"/>
      <c r="M188" s="10"/>
      <c r="N188" s="11"/>
      <c r="O188" s="130"/>
      <c r="P188" s="131"/>
    </row>
    <row r="189" spans="1:16" s="148" customFormat="1" ht="14.4" x14ac:dyDescent="0.3">
      <c r="A189" s="6"/>
      <c r="B189" s="7"/>
      <c r="C189" s="8"/>
      <c r="D189" s="152"/>
      <c r="E189" s="12"/>
      <c r="F189" s="22"/>
      <c r="G189" s="9"/>
      <c r="H189" s="9"/>
      <c r="I189" s="23"/>
      <c r="J189" s="23"/>
      <c r="K189" s="26"/>
      <c r="L189" s="28"/>
      <c r="M189" s="10"/>
      <c r="N189" s="11"/>
      <c r="O189" s="130"/>
      <c r="P189" s="131"/>
    </row>
    <row r="190" spans="1:16" s="148" customFormat="1" ht="14.4" x14ac:dyDescent="0.3">
      <c r="A190" s="6"/>
      <c r="B190" s="7"/>
      <c r="C190" s="8"/>
      <c r="D190" s="152"/>
      <c r="E190" s="12"/>
      <c r="F190" s="22"/>
      <c r="G190" s="9"/>
      <c r="H190" s="9"/>
      <c r="I190" s="23"/>
      <c r="J190" s="23"/>
      <c r="K190" s="26"/>
      <c r="L190" s="28"/>
      <c r="M190" s="10"/>
      <c r="N190" s="11"/>
      <c r="O190" s="130"/>
      <c r="P190" s="131"/>
    </row>
    <row r="191" spans="1:16" s="148" customFormat="1" ht="14.4" x14ac:dyDescent="0.3">
      <c r="A191" s="6"/>
      <c r="B191" s="7"/>
      <c r="C191" s="8"/>
      <c r="D191" s="152"/>
      <c r="E191" s="12"/>
      <c r="F191" s="22"/>
      <c r="G191" s="9"/>
      <c r="H191" s="9"/>
      <c r="I191" s="23"/>
      <c r="J191" s="23"/>
      <c r="K191" s="26"/>
      <c r="L191" s="28"/>
      <c r="M191" s="10"/>
      <c r="N191" s="11"/>
      <c r="O191" s="130"/>
      <c r="P191" s="131"/>
    </row>
    <row r="192" spans="1:16" s="148" customFormat="1" ht="14.4" x14ac:dyDescent="0.3">
      <c r="A192" s="6"/>
      <c r="B192" s="7"/>
      <c r="C192" s="8"/>
      <c r="D192" s="152"/>
      <c r="E192" s="12"/>
      <c r="F192" s="22"/>
      <c r="G192" s="9"/>
      <c r="H192" s="9"/>
      <c r="I192" s="23"/>
      <c r="J192" s="23"/>
      <c r="K192" s="26"/>
      <c r="L192" s="28"/>
      <c r="M192" s="10"/>
      <c r="N192" s="11"/>
      <c r="O192" s="130"/>
      <c r="P192" s="131"/>
    </row>
    <row r="193" spans="1:16" s="148" customFormat="1" ht="14.4" x14ac:dyDescent="0.3">
      <c r="A193" s="6"/>
      <c r="B193" s="7"/>
      <c r="C193" s="8"/>
      <c r="D193" s="152"/>
      <c r="E193" s="12"/>
      <c r="F193" s="22"/>
      <c r="G193" s="9"/>
      <c r="H193" s="9"/>
      <c r="I193" s="23"/>
      <c r="J193" s="23"/>
      <c r="K193" s="26"/>
      <c r="L193" s="28"/>
      <c r="M193" s="10"/>
      <c r="N193" s="11"/>
      <c r="O193" s="130"/>
      <c r="P193" s="131"/>
    </row>
    <row r="194" spans="1:16" s="148" customFormat="1" ht="14.4" x14ac:dyDescent="0.3">
      <c r="A194" s="6"/>
      <c r="B194" s="7"/>
      <c r="C194" s="8"/>
      <c r="D194" s="152"/>
      <c r="E194" s="12"/>
      <c r="F194" s="22"/>
      <c r="G194" s="9"/>
      <c r="H194" s="9"/>
      <c r="I194" s="23"/>
      <c r="J194" s="23"/>
      <c r="K194" s="26"/>
      <c r="L194" s="28"/>
      <c r="M194" s="10"/>
      <c r="N194" s="11"/>
      <c r="O194" s="130"/>
      <c r="P194" s="131"/>
    </row>
  </sheetData>
  <conditionalFormatting sqref="A7:P84">
    <cfRule type="expression" dxfId="7" priority="5">
      <formula>MOD(ROW(),2)=1</formula>
    </cfRule>
  </conditionalFormatting>
  <conditionalFormatting sqref="A86:P105 A110:P165 A107:P107 A167:P194">
    <cfRule type="expression" dxfId="3" priority="4">
      <formula>MOD(ROW(),2)=1</formula>
    </cfRule>
  </conditionalFormatting>
  <conditionalFormatting sqref="A108:P108">
    <cfRule type="expression" dxfId="2" priority="3">
      <formula>MOD(ROW(),2)=1</formula>
    </cfRule>
  </conditionalFormatting>
  <conditionalFormatting sqref="A106:P106">
    <cfRule type="expression" dxfId="1" priority="2">
      <formula>MOD(ROW(),2)=1</formula>
    </cfRule>
  </conditionalFormatting>
  <conditionalFormatting sqref="A166:P166">
    <cfRule type="expression" dxfId="0" priority="1">
      <formula>MOD(ROW(),2)=1</formula>
    </cfRule>
  </conditionalFormatting>
  <pageMargins left="0.39370078740157483" right="0" top="0.82677165354330717" bottom="0.51181102362204722" header="0.39370078740157483" footer="0.23622047244094491"/>
  <pageSetup paperSize="9" scale="54" fitToHeight="0" orientation="landscape" r:id="rId1"/>
  <headerFooter>
    <oddHeader>&amp;R&amp;G</oddHeader>
    <oddFooter>&amp;L&amp;"-,Cursief"&amp;9Page &amp;P of &amp;N&amp;C&amp;"-,Cursief"&amp;9&amp;F - &amp;A&amp;R&amp;"-,Cursief"&amp;9&amp;D - &amp;T</oddFooter>
  </headerFooter>
  <rowBreaks count="2" manualBreakCount="2">
    <brk id="82" max="15" man="1"/>
    <brk id="10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3"/>
  <sheetViews>
    <sheetView tabSelected="1" zoomScale="79" zoomScaleNormal="79" zoomScalePageLayoutView="54" workbookViewId="0">
      <pane ySplit="2208" topLeftCell="A67" activePane="bottomLeft"/>
      <selection activeCell="L3" sqref="K3:L3"/>
      <selection pane="bottomLeft" activeCell="F75" sqref="F75"/>
    </sheetView>
  </sheetViews>
  <sheetFormatPr defaultColWidth="0" defaultRowHeight="12.6" zeroHeight="1" outlineLevelRow="1" outlineLevelCol="1" x14ac:dyDescent="0.2"/>
  <cols>
    <col min="1" max="1" width="7.88671875" style="40" customWidth="1"/>
    <col min="2" max="2" width="60.5546875" style="40" customWidth="1"/>
    <col min="3" max="3" width="18.77734375" style="121" customWidth="1"/>
    <col min="4" max="4" width="18.77734375" style="40" hidden="1" customWidth="1" outlineLevel="1"/>
    <col min="5" max="5" width="18.77734375" style="40" customWidth="1" collapsed="1"/>
    <col min="6" max="13" width="18.77734375" style="40" customWidth="1"/>
    <col min="14" max="14" width="13.6640625" style="40" hidden="1" customWidth="1"/>
    <col min="15" max="15" width="13.6640625" style="40" customWidth="1"/>
    <col min="16" max="17" width="13.6640625" style="40" hidden="1" customWidth="1"/>
    <col min="18" max="16384" width="9.109375" style="40" hidden="1"/>
  </cols>
  <sheetData>
    <row r="1" spans="1:15" s="37" customFormat="1" ht="29.4" x14ac:dyDescent="0.45">
      <c r="A1" s="37" t="s">
        <v>74</v>
      </c>
      <c r="C1" s="38"/>
      <c r="G1" s="39"/>
    </row>
    <row r="2" spans="1:15" x14ac:dyDescent="0.2">
      <c r="C2" s="41"/>
      <c r="D2" s="42"/>
      <c r="E2" s="42"/>
      <c r="F2" s="42"/>
      <c r="G2" s="43" t="s">
        <v>75</v>
      </c>
      <c r="I2" s="42"/>
      <c r="J2" s="42"/>
      <c r="K2" s="42"/>
      <c r="L2" s="42"/>
    </row>
    <row r="3" spans="1:15" s="45" customFormat="1" ht="14.4" customHeight="1" x14ac:dyDescent="0.2">
      <c r="A3" s="44" t="s">
        <v>76</v>
      </c>
      <c r="C3" s="46"/>
      <c r="D3" s="47"/>
      <c r="E3" s="47"/>
      <c r="F3" s="47"/>
      <c r="G3" s="48" t="s">
        <v>77</v>
      </c>
      <c r="H3" s="43" t="s">
        <v>78</v>
      </c>
      <c r="I3" s="43" t="s">
        <v>79</v>
      </c>
      <c r="J3" s="48" t="s">
        <v>80</v>
      </c>
      <c r="K3" s="127">
        <v>0</v>
      </c>
      <c r="L3" s="48">
        <v>1</v>
      </c>
    </row>
    <row r="4" spans="1:15" s="45" customFormat="1" ht="11.4" customHeight="1" x14ac:dyDescent="0.2">
      <c r="B4" s="44"/>
      <c r="C4" s="46"/>
      <c r="D4" s="47"/>
      <c r="E4" s="47"/>
      <c r="F4" s="47"/>
      <c r="G4" s="47"/>
      <c r="H4" s="47"/>
      <c r="I4" s="47"/>
      <c r="J4" s="47"/>
      <c r="K4" s="47"/>
      <c r="L4" s="47"/>
    </row>
    <row r="5" spans="1:15" s="49" customFormat="1" ht="15" customHeight="1" x14ac:dyDescent="0.2">
      <c r="B5" s="50"/>
      <c r="C5" s="51" t="s">
        <v>81</v>
      </c>
      <c r="D5" s="52">
        <v>41787</v>
      </c>
      <c r="E5" s="53">
        <f>EOMONTH(D5,(E9-D9)*12-1)+28</f>
        <v>41879</v>
      </c>
      <c r="F5" s="53">
        <f t="shared" ref="F5:M5" si="0">EOMONTH(E5,(F9-E9)*12-1)+28</f>
        <v>41971</v>
      </c>
      <c r="G5" s="53">
        <f t="shared" si="0"/>
        <v>42063</v>
      </c>
      <c r="H5" s="53">
        <f t="shared" si="0"/>
        <v>42152</v>
      </c>
      <c r="I5" s="53">
        <f t="shared" si="0"/>
        <v>42244</v>
      </c>
      <c r="J5" s="53">
        <f t="shared" si="0"/>
        <v>42336</v>
      </c>
      <c r="K5" s="53">
        <f t="shared" si="0"/>
        <v>42428</v>
      </c>
      <c r="L5" s="53">
        <f t="shared" si="0"/>
        <v>42518</v>
      </c>
      <c r="M5" s="53">
        <f t="shared" si="0"/>
        <v>42610</v>
      </c>
      <c r="N5" s="53"/>
    </row>
    <row r="6" spans="1:15" s="49" customFormat="1" x14ac:dyDescent="0.2">
      <c r="C6" s="51"/>
      <c r="D6" s="54">
        <f>D5</f>
        <v>41787</v>
      </c>
      <c r="E6" s="54">
        <f t="shared" ref="E6:M6" si="1">E5</f>
        <v>41879</v>
      </c>
      <c r="F6" s="54">
        <f t="shared" si="1"/>
        <v>41971</v>
      </c>
      <c r="G6" s="54">
        <f t="shared" si="1"/>
        <v>42063</v>
      </c>
      <c r="H6" s="54">
        <f t="shared" si="1"/>
        <v>42152</v>
      </c>
      <c r="I6" s="54">
        <f t="shared" si="1"/>
        <v>42244</v>
      </c>
      <c r="J6" s="54">
        <f t="shared" si="1"/>
        <v>42336</v>
      </c>
      <c r="K6" s="54">
        <f t="shared" si="1"/>
        <v>42428</v>
      </c>
      <c r="L6" s="54">
        <f t="shared" si="1"/>
        <v>42518</v>
      </c>
      <c r="M6" s="54">
        <f t="shared" si="1"/>
        <v>42610</v>
      </c>
      <c r="N6" s="54"/>
    </row>
    <row r="7" spans="1:15" s="55" customFormat="1" hidden="1" outlineLevel="1" x14ac:dyDescent="0.2">
      <c r="C7" s="56" t="s">
        <v>80</v>
      </c>
      <c r="D7" s="57">
        <v>0</v>
      </c>
      <c r="E7" s="58">
        <f t="shared" ref="E7:M7" si="2">ROUNDUP(E9,0)</f>
        <v>1</v>
      </c>
      <c r="F7" s="58">
        <f t="shared" si="2"/>
        <v>1</v>
      </c>
      <c r="G7" s="58">
        <f t="shared" si="2"/>
        <v>1</v>
      </c>
      <c r="H7" s="58">
        <f t="shared" si="2"/>
        <v>1</v>
      </c>
      <c r="I7" s="58">
        <f t="shared" si="2"/>
        <v>2</v>
      </c>
      <c r="J7" s="58">
        <f t="shared" si="2"/>
        <v>2</v>
      </c>
      <c r="K7" s="58">
        <f t="shared" si="2"/>
        <v>2</v>
      </c>
      <c r="L7" s="58">
        <f t="shared" si="2"/>
        <v>2</v>
      </c>
      <c r="M7" s="58">
        <f t="shared" si="2"/>
        <v>3</v>
      </c>
      <c r="N7" s="58"/>
    </row>
    <row r="8" spans="1:15" s="55" customFormat="1" hidden="1" outlineLevel="1" x14ac:dyDescent="0.2">
      <c r="C8" s="56" t="s">
        <v>78</v>
      </c>
      <c r="D8" s="57">
        <v>0</v>
      </c>
      <c r="E8" s="58" t="str">
        <f>CONCATENATE("Q",IF((E9-ROUNDDOWN(E9,0))=0,4,(E9-ROUNDDOWN(E9,0))*4))</f>
        <v>Q1</v>
      </c>
      <c r="F8" s="58" t="str">
        <f t="shared" ref="F8:M8" si="3">CONCATENATE("Q",IF((F9-ROUNDDOWN(F9,0))=0,4,(F9-ROUNDDOWN(F9,0))*4))</f>
        <v>Q2</v>
      </c>
      <c r="G8" s="58" t="str">
        <f t="shared" si="3"/>
        <v>Q3</v>
      </c>
      <c r="H8" s="58" t="str">
        <f t="shared" si="3"/>
        <v>Q4</v>
      </c>
      <c r="I8" s="58" t="str">
        <f t="shared" si="3"/>
        <v>Q1</v>
      </c>
      <c r="J8" s="58" t="str">
        <f t="shared" si="3"/>
        <v>Q2</v>
      </c>
      <c r="K8" s="58" t="str">
        <f t="shared" si="3"/>
        <v>Q3</v>
      </c>
      <c r="L8" s="58" t="str">
        <f t="shared" si="3"/>
        <v>Q4</v>
      </c>
      <c r="M8" s="58" t="str">
        <f t="shared" si="3"/>
        <v>Q1</v>
      </c>
      <c r="N8" s="58"/>
    </row>
    <row r="9" spans="1:15" s="59" customFormat="1" hidden="1" outlineLevel="1" x14ac:dyDescent="0.2">
      <c r="B9" s="60"/>
      <c r="C9" s="61" t="s">
        <v>82</v>
      </c>
      <c r="D9" s="62">
        <v>0</v>
      </c>
      <c r="E9" s="63">
        <f>0+IF(E15="QUARTER",0.25,IF(E15="half-year",0.5,1))</f>
        <v>0.25</v>
      </c>
      <c r="F9" s="63">
        <f>E9+IF(F15="QUARTER",0.25,IF(F15="half-year",0.5,1))</f>
        <v>0.5</v>
      </c>
      <c r="G9" s="63">
        <f t="shared" ref="G9:M9" si="4">F9+IF(G15="QUARTER",0.25,IF(G15="half-year",0.5,1))</f>
        <v>0.75</v>
      </c>
      <c r="H9" s="63">
        <f t="shared" si="4"/>
        <v>1</v>
      </c>
      <c r="I9" s="63">
        <f t="shared" si="4"/>
        <v>1.25</v>
      </c>
      <c r="J9" s="63">
        <f t="shared" si="4"/>
        <v>1.5</v>
      </c>
      <c r="K9" s="63">
        <f t="shared" si="4"/>
        <v>1.75</v>
      </c>
      <c r="L9" s="63">
        <f t="shared" si="4"/>
        <v>2</v>
      </c>
      <c r="M9" s="63">
        <f t="shared" si="4"/>
        <v>2.25</v>
      </c>
      <c r="N9" s="63"/>
    </row>
    <row r="10" spans="1:15" s="59" customFormat="1" hidden="1" outlineLevel="1" x14ac:dyDescent="0.2">
      <c r="B10" s="60"/>
      <c r="C10" s="61" t="s">
        <v>83</v>
      </c>
      <c r="D10" s="62">
        <v>0.25</v>
      </c>
      <c r="E10" s="63">
        <f>(E5-D5)/360</f>
        <v>0.25555555555555554</v>
      </c>
      <c r="F10" s="63">
        <f t="shared" ref="F10:M10" si="5">(F5-E5)/360</f>
        <v>0.25555555555555554</v>
      </c>
      <c r="G10" s="63">
        <f t="shared" si="5"/>
        <v>0.25555555555555554</v>
      </c>
      <c r="H10" s="63">
        <f t="shared" si="5"/>
        <v>0.24722222222222223</v>
      </c>
      <c r="I10" s="63">
        <f t="shared" si="5"/>
        <v>0.25555555555555554</v>
      </c>
      <c r="J10" s="63">
        <f t="shared" si="5"/>
        <v>0.25555555555555554</v>
      </c>
      <c r="K10" s="63">
        <f t="shared" si="5"/>
        <v>0.25555555555555554</v>
      </c>
      <c r="L10" s="63">
        <f t="shared" si="5"/>
        <v>0.25</v>
      </c>
      <c r="M10" s="63">
        <f t="shared" si="5"/>
        <v>0.25555555555555554</v>
      </c>
      <c r="N10" s="63"/>
    </row>
    <row r="11" spans="1:15" s="64" customFormat="1" outlineLevel="1" x14ac:dyDescent="0.2">
      <c r="B11" s="65"/>
      <c r="C11" s="66"/>
      <c r="D11" s="67"/>
      <c r="E11" s="68"/>
      <c r="F11" s="68"/>
      <c r="G11" s="68"/>
      <c r="H11" s="68"/>
      <c r="I11" s="68"/>
      <c r="J11" s="68"/>
      <c r="K11" s="68"/>
      <c r="L11" s="68"/>
      <c r="M11" s="68"/>
      <c r="N11" s="68"/>
    </row>
    <row r="12" spans="1:15" s="64" customFormat="1" ht="19.8" outlineLevel="1" x14ac:dyDescent="0.2">
      <c r="A12" s="69" t="s">
        <v>84</v>
      </c>
      <c r="B12" s="70"/>
      <c r="C12" s="66"/>
      <c r="D12" s="67"/>
      <c r="E12" s="68"/>
      <c r="F12" s="68"/>
      <c r="G12" s="68"/>
      <c r="H12" s="68"/>
      <c r="I12" s="68"/>
      <c r="J12" s="68"/>
      <c r="K12" s="68"/>
      <c r="L12" s="68"/>
      <c r="M12" s="68"/>
      <c r="N12" s="68"/>
    </row>
    <row r="13" spans="1:15" s="64" customFormat="1" outlineLevel="1" x14ac:dyDescent="0.2">
      <c r="B13" s="65"/>
      <c r="C13" s="66"/>
      <c r="D13" s="67"/>
      <c r="E13" s="68"/>
      <c r="F13" s="68"/>
      <c r="G13" s="68"/>
      <c r="H13" s="68"/>
      <c r="I13" s="68"/>
      <c r="J13" s="68"/>
      <c r="K13" s="68"/>
      <c r="L13" s="68"/>
      <c r="M13" s="68"/>
      <c r="N13" s="68"/>
    </row>
    <row r="14" spans="1:15" s="75" customFormat="1" x14ac:dyDescent="0.2">
      <c r="A14" s="71">
        <f>IF(B14&lt;&gt;"",MAX(A$7:A11)+1,"")</f>
        <v>1</v>
      </c>
      <c r="B14" s="72" t="s">
        <v>85</v>
      </c>
      <c r="C14" s="73"/>
      <c r="D14" s="74"/>
      <c r="E14" s="74"/>
      <c r="F14" s="74"/>
    </row>
    <row r="15" spans="1:15" s="79" customFormat="1" x14ac:dyDescent="0.2">
      <c r="A15" s="71">
        <f>IF(B15&lt;&gt;"",MAX(A$7:A14)+1,"")</f>
        <v>2</v>
      </c>
      <c r="B15" s="76" t="s">
        <v>86</v>
      </c>
      <c r="C15" s="77"/>
      <c r="D15" s="78"/>
      <c r="E15" s="78" t="s">
        <v>78</v>
      </c>
      <c r="F15" s="78" t="s">
        <v>78</v>
      </c>
      <c r="G15" s="78" t="s">
        <v>78</v>
      </c>
      <c r="H15" s="78" t="s">
        <v>78</v>
      </c>
      <c r="I15" s="78" t="s">
        <v>78</v>
      </c>
      <c r="J15" s="78" t="s">
        <v>78</v>
      </c>
      <c r="K15" s="78" t="s">
        <v>78</v>
      </c>
      <c r="L15" s="78" t="s">
        <v>78</v>
      </c>
      <c r="M15" s="78" t="s">
        <v>78</v>
      </c>
      <c r="O15" s="75"/>
    </row>
    <row r="16" spans="1:15" s="82" customFormat="1" x14ac:dyDescent="0.2">
      <c r="A16" s="71" t="str">
        <f>IF(B16&lt;&gt;"",MAX(A$7:A15)+1,"")</f>
        <v/>
      </c>
      <c r="B16" s="80"/>
      <c r="C16" s="81"/>
      <c r="D16" s="80"/>
      <c r="E16" s="80"/>
      <c r="F16" s="80"/>
      <c r="G16" s="80"/>
      <c r="H16" s="80"/>
      <c r="I16" s="80"/>
      <c r="J16" s="80"/>
      <c r="K16" s="80"/>
      <c r="L16" s="80"/>
      <c r="M16" s="80"/>
      <c r="O16" s="75"/>
    </row>
    <row r="17" spans="1:15" s="82" customFormat="1" x14ac:dyDescent="0.2">
      <c r="A17" s="71">
        <f>IF(B17&lt;&gt;"",MAX(A$7:A16)+1,"")</f>
        <v>3</v>
      </c>
      <c r="B17" s="80" t="s">
        <v>172</v>
      </c>
      <c r="C17" s="81"/>
      <c r="D17" s="80">
        <v>1.6E-2</v>
      </c>
      <c r="E17" s="80">
        <f t="shared" ref="E17:M17" si="6">D17</f>
        <v>1.6E-2</v>
      </c>
      <c r="F17" s="80">
        <f t="shared" si="6"/>
        <v>1.6E-2</v>
      </c>
      <c r="G17" s="80">
        <f t="shared" si="6"/>
        <v>1.6E-2</v>
      </c>
      <c r="H17" s="80">
        <f t="shared" si="6"/>
        <v>1.6E-2</v>
      </c>
      <c r="I17" s="80">
        <f t="shared" si="6"/>
        <v>1.6E-2</v>
      </c>
      <c r="J17" s="80">
        <f t="shared" si="6"/>
        <v>1.6E-2</v>
      </c>
      <c r="K17" s="80">
        <f t="shared" si="6"/>
        <v>1.6E-2</v>
      </c>
      <c r="L17" s="80">
        <f t="shared" si="6"/>
        <v>1.6E-2</v>
      </c>
      <c r="M17" s="80">
        <f t="shared" si="6"/>
        <v>1.6E-2</v>
      </c>
      <c r="O17" s="75"/>
    </row>
    <row r="18" spans="1:15" s="75" customFormat="1" x14ac:dyDescent="0.2">
      <c r="A18" s="71" t="str">
        <f>IF(B18&lt;&gt;"",MAX(A$7:A17)+1,"")</f>
        <v/>
      </c>
      <c r="B18" s="83"/>
      <c r="C18" s="84"/>
      <c r="D18" s="85"/>
      <c r="E18" s="74"/>
      <c r="F18" s="86"/>
      <c r="G18" s="74"/>
    </row>
    <row r="19" spans="1:15" s="75" customFormat="1" x14ac:dyDescent="0.2">
      <c r="A19" s="71">
        <f>IF(B19&lt;&gt;"",MAX(A$7:A18)+1,"")</f>
        <v>4</v>
      </c>
      <c r="B19" s="87" t="s">
        <v>87</v>
      </c>
      <c r="C19" s="84"/>
      <c r="D19" s="85"/>
      <c r="E19" s="74"/>
      <c r="F19" s="86"/>
      <c r="G19" s="74"/>
    </row>
    <row r="20" spans="1:15" s="88" customFormat="1" x14ac:dyDescent="0.2">
      <c r="A20" s="71">
        <f>IF(B20&lt;&gt;"",MAX(A$7:A19)+1,"")</f>
        <v>5</v>
      </c>
      <c r="B20" s="75" t="s">
        <v>88</v>
      </c>
      <c r="C20" s="74">
        <v>1454</v>
      </c>
      <c r="D20" s="74">
        <f>C20</f>
        <v>1454</v>
      </c>
      <c r="E20" s="74">
        <f>D24</f>
        <v>1454</v>
      </c>
      <c r="F20" s="74">
        <f t="shared" ref="F20:M20" si="7">E24</f>
        <v>1454</v>
      </c>
      <c r="G20" s="74">
        <f t="shared" si="7"/>
        <v>1454</v>
      </c>
      <c r="H20" s="74">
        <f t="shared" si="7"/>
        <v>1454</v>
      </c>
      <c r="I20" s="74">
        <f t="shared" si="7"/>
        <v>1454</v>
      </c>
      <c r="J20" s="74">
        <f t="shared" si="7"/>
        <v>1454</v>
      </c>
      <c r="K20" s="74">
        <f t="shared" si="7"/>
        <v>1454</v>
      </c>
      <c r="L20" s="74">
        <f t="shared" si="7"/>
        <v>1454</v>
      </c>
      <c r="M20" s="74">
        <f t="shared" si="7"/>
        <v>1454</v>
      </c>
      <c r="N20" s="74"/>
      <c r="O20" s="75"/>
    </row>
    <row r="21" spans="1:15" s="88" customFormat="1" x14ac:dyDescent="0.2">
      <c r="A21" s="71">
        <f>IF(B21&lt;&gt;"",MAX(A$7:A20)+1,"")</f>
        <v>6</v>
      </c>
      <c r="B21" s="83" t="s">
        <v>89</v>
      </c>
      <c r="C21" s="73"/>
      <c r="D21" s="89">
        <v>0</v>
      </c>
      <c r="E21" s="89">
        <v>0.2104</v>
      </c>
      <c r="F21" s="89">
        <v>0</v>
      </c>
      <c r="G21" s="89">
        <v>0.2</v>
      </c>
      <c r="H21" s="89">
        <v>0</v>
      </c>
      <c r="I21" s="89">
        <v>0.2</v>
      </c>
      <c r="J21" s="89">
        <v>0</v>
      </c>
      <c r="K21" s="89">
        <v>0.2</v>
      </c>
      <c r="L21" s="89">
        <v>0</v>
      </c>
      <c r="M21" s="89">
        <f>1-SUM(D23:L23)</f>
        <v>1</v>
      </c>
      <c r="N21" s="89"/>
      <c r="O21" s="75"/>
    </row>
    <row r="22" spans="1:15" s="88" customFormat="1" x14ac:dyDescent="0.2">
      <c r="A22" s="71">
        <f>IF(B22&lt;&gt;"",MAX(A$7:A21)+1,"")</f>
        <v>7</v>
      </c>
      <c r="B22" s="75" t="s">
        <v>90</v>
      </c>
      <c r="C22" s="75">
        <f>C23</f>
        <v>0</v>
      </c>
      <c r="D22" s="75"/>
      <c r="E22" s="75">
        <f t="shared" ref="E22:M22" si="8">IF(OR(AND(-E31&lt;=E52+E53,E21&gt;0),AND(E107&lt;&gt;0,E29+E46+E47&gt;=E107)),1,0)*$C22</f>
        <v>0</v>
      </c>
      <c r="F22" s="75">
        <f t="shared" si="8"/>
        <v>0</v>
      </c>
      <c r="G22" s="75">
        <f t="shared" si="8"/>
        <v>0</v>
      </c>
      <c r="H22" s="75">
        <f t="shared" si="8"/>
        <v>0</v>
      </c>
      <c r="I22" s="75">
        <f t="shared" si="8"/>
        <v>0</v>
      </c>
      <c r="J22" s="75">
        <f t="shared" si="8"/>
        <v>0</v>
      </c>
      <c r="K22" s="75">
        <f t="shared" si="8"/>
        <v>0</v>
      </c>
      <c r="L22" s="75">
        <f t="shared" si="8"/>
        <v>0</v>
      </c>
      <c r="M22" s="75">
        <f t="shared" si="8"/>
        <v>0</v>
      </c>
      <c r="N22" s="75"/>
      <c r="O22" s="75"/>
    </row>
    <row r="23" spans="1:15" s="88" customFormat="1" x14ac:dyDescent="0.2">
      <c r="A23" s="71">
        <f>IF(B23&lt;&gt;"",MAX(A$7:A22)+1,"")</f>
        <v>8</v>
      </c>
      <c r="B23" s="83" t="s">
        <v>91</v>
      </c>
      <c r="C23" s="90">
        <v>0</v>
      </c>
      <c r="D23" s="91">
        <f t="shared" ref="D23:M23" si="9">$C23*D21*D22</f>
        <v>0</v>
      </c>
      <c r="E23" s="91">
        <f t="shared" si="9"/>
        <v>0</v>
      </c>
      <c r="F23" s="91">
        <f t="shared" si="9"/>
        <v>0</v>
      </c>
      <c r="G23" s="91">
        <f t="shared" si="9"/>
        <v>0</v>
      </c>
      <c r="H23" s="91">
        <f t="shared" si="9"/>
        <v>0</v>
      </c>
      <c r="I23" s="91">
        <f t="shared" si="9"/>
        <v>0</v>
      </c>
      <c r="J23" s="91">
        <f t="shared" si="9"/>
        <v>0</v>
      </c>
      <c r="K23" s="91">
        <f t="shared" si="9"/>
        <v>0</v>
      </c>
      <c r="L23" s="91">
        <f t="shared" si="9"/>
        <v>0</v>
      </c>
      <c r="M23" s="91">
        <f t="shared" si="9"/>
        <v>0</v>
      </c>
      <c r="N23" s="91"/>
      <c r="O23" s="75"/>
    </row>
    <row r="24" spans="1:15" s="88" customFormat="1" x14ac:dyDescent="0.2">
      <c r="A24" s="71">
        <f>IF(B24&lt;&gt;"",MAX(A$7:A23)+1,"")</f>
        <v>9</v>
      </c>
      <c r="B24" s="92" t="s">
        <v>92</v>
      </c>
      <c r="D24" s="93">
        <f t="shared" ref="D24:M24" si="10">D20-D23*$C20</f>
        <v>1454</v>
      </c>
      <c r="E24" s="93">
        <f t="shared" si="10"/>
        <v>1454</v>
      </c>
      <c r="F24" s="93">
        <f t="shared" si="10"/>
        <v>1454</v>
      </c>
      <c r="G24" s="93">
        <f t="shared" si="10"/>
        <v>1454</v>
      </c>
      <c r="H24" s="93">
        <f t="shared" si="10"/>
        <v>1454</v>
      </c>
      <c r="I24" s="93">
        <f t="shared" si="10"/>
        <v>1454</v>
      </c>
      <c r="J24" s="93">
        <f t="shared" si="10"/>
        <v>1454</v>
      </c>
      <c r="K24" s="93">
        <f t="shared" si="10"/>
        <v>1454</v>
      </c>
      <c r="L24" s="93">
        <f t="shared" si="10"/>
        <v>1454</v>
      </c>
      <c r="M24" s="93">
        <f t="shared" si="10"/>
        <v>1454</v>
      </c>
      <c r="N24" s="93"/>
      <c r="O24" s="75"/>
    </row>
    <row r="25" spans="1:15" s="88" customFormat="1" x14ac:dyDescent="0.2">
      <c r="A25" s="71" t="str">
        <f>IF(B25&lt;&gt;"",MAX(A$7:A24)+1,"")</f>
        <v/>
      </c>
      <c r="B25" s="75"/>
      <c r="C25" s="89"/>
      <c r="D25" s="89"/>
      <c r="E25" s="89"/>
      <c r="F25" s="75"/>
      <c r="G25" s="75"/>
      <c r="H25" s="75"/>
      <c r="I25" s="75"/>
      <c r="J25" s="75"/>
      <c r="K25" s="75"/>
      <c r="L25" s="75"/>
      <c r="M25" s="75"/>
      <c r="N25" s="75"/>
      <c r="O25" s="75"/>
    </row>
    <row r="26" spans="1:15" s="88" customFormat="1" x14ac:dyDescent="0.2">
      <c r="A26" s="71">
        <f>IF(B26&lt;&gt;"",MAX(A$7:A25)+1,"")</f>
        <v>10</v>
      </c>
      <c r="B26" s="72" t="s">
        <v>93</v>
      </c>
      <c r="C26" s="75"/>
      <c r="D26" s="75"/>
      <c r="E26" s="75"/>
      <c r="F26" s="75"/>
      <c r="G26" s="75"/>
      <c r="H26" s="75"/>
      <c r="I26" s="75"/>
      <c r="J26" s="75"/>
      <c r="K26" s="75"/>
      <c r="L26" s="75"/>
      <c r="M26" s="75"/>
      <c r="N26" s="75"/>
      <c r="O26" s="75"/>
    </row>
    <row r="27" spans="1:15" s="88" customFormat="1" x14ac:dyDescent="0.2">
      <c r="A27" s="71">
        <f>IF(B27&lt;&gt;"",MAX(A$7:A26)+1,"")</f>
        <v>11</v>
      </c>
      <c r="B27" s="75" t="s">
        <v>94</v>
      </c>
      <c r="C27" s="94">
        <v>0.70350000000000001</v>
      </c>
      <c r="D27" s="89">
        <f t="shared" ref="D27:M27" si="11">C27</f>
        <v>0.70350000000000001</v>
      </c>
      <c r="E27" s="95">
        <v>0.65500000000000003</v>
      </c>
      <c r="F27" s="89">
        <f>D27</f>
        <v>0.70350000000000001</v>
      </c>
      <c r="G27" s="89">
        <f t="shared" si="11"/>
        <v>0.70350000000000001</v>
      </c>
      <c r="H27" s="89">
        <f t="shared" si="11"/>
        <v>0.70350000000000001</v>
      </c>
      <c r="I27" s="89">
        <f t="shared" si="11"/>
        <v>0.70350000000000001</v>
      </c>
      <c r="J27" s="89">
        <f t="shared" si="11"/>
        <v>0.70350000000000001</v>
      </c>
      <c r="K27" s="89">
        <f t="shared" si="11"/>
        <v>0.70350000000000001</v>
      </c>
      <c r="L27" s="89">
        <f t="shared" si="11"/>
        <v>0.70350000000000001</v>
      </c>
      <c r="M27" s="89">
        <f t="shared" si="11"/>
        <v>0.70350000000000001</v>
      </c>
      <c r="N27" s="89"/>
      <c r="O27" s="75"/>
    </row>
    <row r="28" spans="1:15" s="88" customFormat="1" x14ac:dyDescent="0.2">
      <c r="A28" s="71">
        <f>IF(B28&lt;&gt;"",MAX(A$7:A27)+1,"")</f>
        <v>12</v>
      </c>
      <c r="B28" s="75" t="s">
        <v>95</v>
      </c>
      <c r="C28" s="75"/>
      <c r="D28" s="96">
        <f>D23*$C$20</f>
        <v>0</v>
      </c>
      <c r="E28" s="96">
        <f t="shared" ref="E28:M28" si="12">E21*$C$20</f>
        <v>305.92160000000001</v>
      </c>
      <c r="F28" s="96">
        <f t="shared" si="12"/>
        <v>0</v>
      </c>
      <c r="G28" s="96">
        <f t="shared" si="12"/>
        <v>290.8</v>
      </c>
      <c r="H28" s="96">
        <f t="shared" si="12"/>
        <v>0</v>
      </c>
      <c r="I28" s="96">
        <f t="shared" si="12"/>
        <v>290.8</v>
      </c>
      <c r="J28" s="96">
        <f t="shared" si="12"/>
        <v>0</v>
      </c>
      <c r="K28" s="96">
        <f t="shared" si="12"/>
        <v>290.8</v>
      </c>
      <c r="L28" s="96">
        <f t="shared" si="12"/>
        <v>0</v>
      </c>
      <c r="M28" s="96">
        <f t="shared" si="12"/>
        <v>1454</v>
      </c>
      <c r="N28" s="96"/>
      <c r="O28" s="75"/>
    </row>
    <row r="29" spans="1:15" s="88" customFormat="1" x14ac:dyDescent="0.2">
      <c r="A29" s="71">
        <f>IF(B29&lt;&gt;"",MAX(A$7:A28)+1,"")</f>
        <v>13</v>
      </c>
      <c r="B29" s="75" t="s">
        <v>96</v>
      </c>
      <c r="C29" s="89"/>
      <c r="D29" s="96">
        <f t="shared" ref="D29:M29" si="13">D27*D28</f>
        <v>0</v>
      </c>
      <c r="E29" s="96">
        <f t="shared" si="13"/>
        <v>200.37864800000003</v>
      </c>
      <c r="F29" s="96">
        <f t="shared" si="13"/>
        <v>0</v>
      </c>
      <c r="G29" s="96">
        <f t="shared" si="13"/>
        <v>204.57780000000002</v>
      </c>
      <c r="H29" s="96">
        <f t="shared" si="13"/>
        <v>0</v>
      </c>
      <c r="I29" s="96">
        <f t="shared" si="13"/>
        <v>204.57780000000002</v>
      </c>
      <c r="J29" s="96">
        <f t="shared" si="13"/>
        <v>0</v>
      </c>
      <c r="K29" s="96">
        <f t="shared" si="13"/>
        <v>204.57780000000002</v>
      </c>
      <c r="L29" s="96">
        <f t="shared" si="13"/>
        <v>0</v>
      </c>
      <c r="M29" s="96">
        <f t="shared" si="13"/>
        <v>1022.889</v>
      </c>
      <c r="N29" s="96"/>
      <c r="O29" s="75"/>
    </row>
    <row r="30" spans="1:15" s="88" customFormat="1" x14ac:dyDescent="0.2">
      <c r="A30" s="71">
        <f>IF(B30&lt;&gt;"",MAX(A$7:A29)+1,"")</f>
        <v>14</v>
      </c>
      <c r="B30" s="75" t="s">
        <v>97</v>
      </c>
      <c r="C30" s="75">
        <v>1050</v>
      </c>
      <c r="D30" s="96">
        <f>MIN(D21*$C$30,D107+D108)</f>
        <v>0</v>
      </c>
      <c r="E30" s="97">
        <v>218.6</v>
      </c>
      <c r="F30" s="96">
        <f t="shared" ref="F30:M30" si="14">MIN(F21*$C$30,F107+F108)</f>
        <v>0</v>
      </c>
      <c r="G30" s="96">
        <f t="shared" si="14"/>
        <v>210</v>
      </c>
      <c r="H30" s="96">
        <f t="shared" si="14"/>
        <v>0</v>
      </c>
      <c r="I30" s="96">
        <f t="shared" si="14"/>
        <v>210</v>
      </c>
      <c r="J30" s="96">
        <f t="shared" si="14"/>
        <v>0</v>
      </c>
      <c r="K30" s="96">
        <f t="shared" si="14"/>
        <v>210</v>
      </c>
      <c r="L30" s="96">
        <f t="shared" si="14"/>
        <v>0</v>
      </c>
      <c r="M30" s="96">
        <f t="shared" si="14"/>
        <v>967.46152771820255</v>
      </c>
      <c r="N30" s="96"/>
      <c r="O30" s="75"/>
    </row>
    <row r="31" spans="1:15" s="88" customFormat="1" x14ac:dyDescent="0.2">
      <c r="A31" s="71">
        <f>IF(B31&lt;&gt;"",MAX(A$7:A30)+1,"")</f>
        <v>15</v>
      </c>
      <c r="B31" s="75" t="s">
        <v>98</v>
      </c>
      <c r="C31" s="75"/>
      <c r="D31" s="98">
        <f t="shared" ref="D31:M31" si="15">D29-D30</f>
        <v>0</v>
      </c>
      <c r="E31" s="98">
        <f t="shared" si="15"/>
        <v>-18.221351999999968</v>
      </c>
      <c r="F31" s="98">
        <f t="shared" si="15"/>
        <v>0</v>
      </c>
      <c r="G31" s="98">
        <f t="shared" si="15"/>
        <v>-5.4221999999999753</v>
      </c>
      <c r="H31" s="98">
        <f t="shared" si="15"/>
        <v>0</v>
      </c>
      <c r="I31" s="98">
        <f t="shared" si="15"/>
        <v>-5.4221999999999753</v>
      </c>
      <c r="J31" s="98">
        <f t="shared" si="15"/>
        <v>0</v>
      </c>
      <c r="K31" s="98">
        <f t="shared" si="15"/>
        <v>-5.4221999999999753</v>
      </c>
      <c r="L31" s="98">
        <f t="shared" si="15"/>
        <v>0</v>
      </c>
      <c r="M31" s="98">
        <f t="shared" si="15"/>
        <v>55.427472281797463</v>
      </c>
      <c r="N31" s="98"/>
      <c r="O31" s="75"/>
    </row>
    <row r="32" spans="1:15" s="88" customFormat="1" x14ac:dyDescent="0.2">
      <c r="A32" s="71" t="str">
        <f>IF(B32&lt;&gt;"",MAX(A$7:A31)+1,"")</f>
        <v/>
      </c>
      <c r="B32" s="75"/>
      <c r="C32" s="75"/>
      <c r="D32" s="75"/>
      <c r="E32" s="75"/>
      <c r="F32" s="75"/>
      <c r="G32" s="75"/>
      <c r="H32" s="75"/>
      <c r="I32" s="75"/>
      <c r="J32" s="75"/>
      <c r="K32" s="75"/>
      <c r="L32" s="75"/>
      <c r="M32" s="75"/>
      <c r="N32" s="75"/>
      <c r="O32" s="75"/>
    </row>
    <row r="33" spans="1:15" s="88" customFormat="1" x14ac:dyDescent="0.2">
      <c r="A33" s="71">
        <f>IF(B33&lt;&gt;"",MAX(A$7:A32)+1,"")</f>
        <v>16</v>
      </c>
      <c r="B33" s="72" t="s">
        <v>99</v>
      </c>
      <c r="C33" s="75"/>
      <c r="D33" s="96"/>
      <c r="E33" s="96"/>
      <c r="F33" s="96"/>
      <c r="G33" s="96"/>
      <c r="H33" s="96"/>
      <c r="I33" s="96"/>
      <c r="J33" s="96"/>
      <c r="K33" s="96"/>
      <c r="L33" s="96"/>
      <c r="M33" s="96"/>
      <c r="N33" s="96"/>
      <c r="O33" s="75"/>
    </row>
    <row r="34" spans="1:15" s="88" customFormat="1" x14ac:dyDescent="0.2">
      <c r="A34" s="71">
        <f>IF(B34&lt;&gt;"",MAX(A$7:A33)+1,"")</f>
        <v>17</v>
      </c>
      <c r="B34" s="75" t="s">
        <v>100</v>
      </c>
      <c r="C34" s="75"/>
      <c r="D34" s="96">
        <f>C23*C37</f>
        <v>0</v>
      </c>
      <c r="E34" s="96">
        <f>D37</f>
        <v>0</v>
      </c>
      <c r="F34" s="96">
        <f t="shared" ref="F34:M34" si="16">E37</f>
        <v>0</v>
      </c>
      <c r="G34" s="96">
        <f t="shared" si="16"/>
        <v>0</v>
      </c>
      <c r="H34" s="96">
        <f t="shared" si="16"/>
        <v>0</v>
      </c>
      <c r="I34" s="96">
        <f t="shared" si="16"/>
        <v>0</v>
      </c>
      <c r="J34" s="96">
        <f t="shared" si="16"/>
        <v>0</v>
      </c>
      <c r="K34" s="96">
        <f t="shared" si="16"/>
        <v>0</v>
      </c>
      <c r="L34" s="96">
        <f t="shared" si="16"/>
        <v>0</v>
      </c>
      <c r="M34" s="96">
        <f t="shared" si="16"/>
        <v>0</v>
      </c>
      <c r="N34" s="96"/>
      <c r="O34" s="75"/>
    </row>
    <row r="35" spans="1:15" s="88" customFormat="1" x14ac:dyDescent="0.2">
      <c r="A35" s="71">
        <f>IF(B35&lt;&gt;"",MAX(A$7:A34)+1,"")</f>
        <v>18</v>
      </c>
      <c r="B35" s="75" t="s">
        <v>101</v>
      </c>
      <c r="C35" s="89"/>
      <c r="D35" s="96"/>
      <c r="E35" s="96">
        <v>0</v>
      </c>
      <c r="F35" s="96">
        <f t="shared" ref="F35:M35" si="17">$C35*F74</f>
        <v>0</v>
      </c>
      <c r="G35" s="96">
        <f t="shared" si="17"/>
        <v>0</v>
      </c>
      <c r="H35" s="96">
        <f t="shared" si="17"/>
        <v>0</v>
      </c>
      <c r="I35" s="96">
        <f t="shared" si="17"/>
        <v>0</v>
      </c>
      <c r="J35" s="96">
        <f t="shared" si="17"/>
        <v>0</v>
      </c>
      <c r="K35" s="96">
        <f t="shared" si="17"/>
        <v>0</v>
      </c>
      <c r="L35" s="96">
        <f t="shared" si="17"/>
        <v>0</v>
      </c>
      <c r="M35" s="96">
        <f t="shared" si="17"/>
        <v>0</v>
      </c>
      <c r="N35" s="96"/>
      <c r="O35" s="75"/>
    </row>
    <row r="36" spans="1:15" s="88" customFormat="1" x14ac:dyDescent="0.2">
      <c r="A36" s="71">
        <f>IF(B36&lt;&gt;"",MAX(A$7:A35)+1,"")</f>
        <v>19</v>
      </c>
      <c r="B36" s="75" t="s">
        <v>102</v>
      </c>
      <c r="C36" s="89"/>
      <c r="D36" s="96"/>
      <c r="E36" s="96">
        <f t="shared" ref="E36:M36" si="18">E22*-MIN(E34+E35,MAX(-E$31+E$42,0))</f>
        <v>0</v>
      </c>
      <c r="F36" s="96">
        <f t="shared" si="18"/>
        <v>0</v>
      </c>
      <c r="G36" s="96">
        <f t="shared" si="18"/>
        <v>0</v>
      </c>
      <c r="H36" s="96">
        <f t="shared" si="18"/>
        <v>0</v>
      </c>
      <c r="I36" s="96">
        <f t="shared" si="18"/>
        <v>0</v>
      </c>
      <c r="J36" s="96">
        <f t="shared" si="18"/>
        <v>0</v>
      </c>
      <c r="K36" s="96">
        <f t="shared" si="18"/>
        <v>0</v>
      </c>
      <c r="L36" s="96">
        <f t="shared" si="18"/>
        <v>0</v>
      </c>
      <c r="M36" s="96">
        <f t="shared" si="18"/>
        <v>0</v>
      </c>
      <c r="N36" s="96"/>
      <c r="O36" s="75"/>
    </row>
    <row r="37" spans="1:15" s="88" customFormat="1" x14ac:dyDescent="0.2">
      <c r="A37" s="71">
        <f>IF(B37&lt;&gt;"",MAX(A$7:A36)+1,"")</f>
        <v>20</v>
      </c>
      <c r="B37" s="75" t="s">
        <v>103</v>
      </c>
      <c r="C37" s="96">
        <v>25</v>
      </c>
      <c r="D37" s="98">
        <f>SUM(D34:D36)</f>
        <v>0</v>
      </c>
      <c r="E37" s="98">
        <f>SUM(E34:E36)</f>
        <v>0</v>
      </c>
      <c r="F37" s="98">
        <f t="shared" ref="F37:M37" si="19">SUM(F34:F36)</f>
        <v>0</v>
      </c>
      <c r="G37" s="98">
        <f t="shared" si="19"/>
        <v>0</v>
      </c>
      <c r="H37" s="98">
        <f t="shared" si="19"/>
        <v>0</v>
      </c>
      <c r="I37" s="98">
        <f t="shared" si="19"/>
        <v>0</v>
      </c>
      <c r="J37" s="98">
        <f t="shared" si="19"/>
        <v>0</v>
      </c>
      <c r="K37" s="98">
        <f t="shared" si="19"/>
        <v>0</v>
      </c>
      <c r="L37" s="98">
        <f t="shared" si="19"/>
        <v>0</v>
      </c>
      <c r="M37" s="98">
        <f t="shared" si="19"/>
        <v>0</v>
      </c>
      <c r="N37" s="98"/>
      <c r="O37" s="75"/>
    </row>
    <row r="38" spans="1:15" s="88" customFormat="1" x14ac:dyDescent="0.2">
      <c r="A38" s="71" t="str">
        <f>IF(B38&lt;&gt;"",MAX(A$7:A37)+1,"")</f>
        <v/>
      </c>
      <c r="B38" s="75"/>
      <c r="C38" s="75"/>
      <c r="D38" s="96"/>
      <c r="E38" s="96"/>
      <c r="F38" s="96"/>
      <c r="G38" s="96"/>
      <c r="H38" s="96"/>
      <c r="I38" s="96"/>
      <c r="J38" s="96"/>
      <c r="K38" s="96"/>
      <c r="L38" s="96"/>
      <c r="M38" s="96"/>
      <c r="N38" s="96"/>
      <c r="O38" s="75"/>
    </row>
    <row r="39" spans="1:15" s="88" customFormat="1" x14ac:dyDescent="0.2">
      <c r="A39" s="71">
        <f>IF(B39&lt;&gt;"",MAX(A$7:A38)+1,"")</f>
        <v>21</v>
      </c>
      <c r="B39" s="72" t="s">
        <v>104</v>
      </c>
      <c r="C39" s="75"/>
      <c r="D39" s="96"/>
      <c r="E39" s="96"/>
      <c r="F39" s="75"/>
      <c r="G39" s="75"/>
      <c r="H39" s="75"/>
      <c r="I39" s="75"/>
      <c r="J39" s="75"/>
      <c r="K39" s="75"/>
      <c r="L39" s="75"/>
      <c r="M39" s="75"/>
      <c r="N39" s="75"/>
      <c r="O39" s="75"/>
    </row>
    <row r="40" spans="1:15" s="88" customFormat="1" x14ac:dyDescent="0.2">
      <c r="A40" s="71">
        <f>IF(B40&lt;&gt;"",MAX(A$7:A39)+1,"")</f>
        <v>22</v>
      </c>
      <c r="B40" s="75" t="s">
        <v>100</v>
      </c>
      <c r="C40" s="75"/>
      <c r="D40" s="96"/>
      <c r="E40" s="96">
        <f>D43</f>
        <v>0</v>
      </c>
      <c r="F40" s="96">
        <f t="shared" ref="F40:M40" si="20">E43</f>
        <v>0</v>
      </c>
      <c r="G40" s="96">
        <f t="shared" si="20"/>
        <v>0</v>
      </c>
      <c r="H40" s="96">
        <f t="shared" si="20"/>
        <v>0</v>
      </c>
      <c r="I40" s="96">
        <f t="shared" si="20"/>
        <v>0</v>
      </c>
      <c r="J40" s="96">
        <f t="shared" si="20"/>
        <v>0</v>
      </c>
      <c r="K40" s="96">
        <f t="shared" si="20"/>
        <v>0</v>
      </c>
      <c r="L40" s="96">
        <f t="shared" si="20"/>
        <v>0</v>
      </c>
      <c r="M40" s="96">
        <f t="shared" si="20"/>
        <v>0</v>
      </c>
      <c r="N40" s="96"/>
      <c r="O40" s="75"/>
    </row>
    <row r="41" spans="1:15" s="88" customFormat="1" x14ac:dyDescent="0.2">
      <c r="A41" s="71">
        <f>IF(B41&lt;&gt;"",MAX(A$7:A40)+1,"")</f>
        <v>23</v>
      </c>
      <c r="B41" s="75" t="s">
        <v>101</v>
      </c>
      <c r="C41" s="75"/>
      <c r="D41" s="96"/>
      <c r="E41" s="96">
        <v>0</v>
      </c>
      <c r="F41" s="96">
        <v>0</v>
      </c>
      <c r="G41" s="96">
        <v>0</v>
      </c>
      <c r="H41" s="96">
        <v>0</v>
      </c>
      <c r="I41" s="96">
        <v>0</v>
      </c>
      <c r="J41" s="96">
        <v>0</v>
      </c>
      <c r="K41" s="96">
        <v>0</v>
      </c>
      <c r="L41" s="96">
        <v>0</v>
      </c>
      <c r="M41" s="96">
        <v>0</v>
      </c>
      <c r="N41" s="96"/>
      <c r="O41" s="75"/>
    </row>
    <row r="42" spans="1:15" s="88" customFormat="1" x14ac:dyDescent="0.2">
      <c r="A42" s="71">
        <f>IF(B42&lt;&gt;"",MAX(A$7:A41)+1,"")</f>
        <v>24</v>
      </c>
      <c r="B42" s="75" t="s">
        <v>102</v>
      </c>
      <c r="C42" s="75"/>
      <c r="D42" s="96"/>
      <c r="E42" s="96">
        <f>IF(SUM($D23:E23)=1,0,E22*-MIN(E40+E41,MAX(-E$31,0)))</f>
        <v>0</v>
      </c>
      <c r="F42" s="96">
        <f>IF(SUM($D23:F23)=1,0,F22*-MIN(F40+F41,MAX(-F$31,0)))</f>
        <v>0</v>
      </c>
      <c r="G42" s="96">
        <f>IF(SUM($D23:G23)=1,0,G22*-MIN(G40+G41,MAX(-G$31,0)))</f>
        <v>0</v>
      </c>
      <c r="H42" s="96">
        <f>IF(SUM($D23:H23)=1,0,H22*-MIN(H40+H41,MAX(-H$31,0)))</f>
        <v>0</v>
      </c>
      <c r="I42" s="96">
        <f>IF(SUM($D23:I23)=1,0,I22*-MIN(I40+I41,MAX(-I$31,0)))</f>
        <v>0</v>
      </c>
      <c r="J42" s="96">
        <f>IF(SUM($D23:J23)=1,0,J22*-MIN(J40+J41,MAX(-J$31,0)))</f>
        <v>0</v>
      </c>
      <c r="K42" s="96">
        <f>IF(SUM($D23:K23)=1,0,K22*-MIN(K40+K41,MAX(-K$31,0)))</f>
        <v>0</v>
      </c>
      <c r="L42" s="96">
        <f>IF(SUM($D23:L23)=1,0,L22*-MIN(L40+L41,MAX(-L$31,0)))</f>
        <v>0</v>
      </c>
      <c r="M42" s="96">
        <f>IF(SUM($D23:M23)=1,0,M22*-MIN(M40+M41,MAX(-M$31,0)))</f>
        <v>0</v>
      </c>
      <c r="N42" s="96"/>
      <c r="O42" s="75"/>
    </row>
    <row r="43" spans="1:15" s="88" customFormat="1" x14ac:dyDescent="0.2">
      <c r="A43" s="71">
        <f>IF(B43&lt;&gt;"",MAX(A$7:A42)+1,"")</f>
        <v>25</v>
      </c>
      <c r="B43" s="75" t="s">
        <v>103</v>
      </c>
      <c r="C43" s="75"/>
      <c r="D43" s="98">
        <v>0</v>
      </c>
      <c r="E43" s="98">
        <f>SUM(E40:E42)</f>
        <v>0</v>
      </c>
      <c r="F43" s="98">
        <f t="shared" ref="F43:M43" si="21">SUM(F40:F42)</f>
        <v>0</v>
      </c>
      <c r="G43" s="98">
        <f t="shared" si="21"/>
        <v>0</v>
      </c>
      <c r="H43" s="98">
        <f t="shared" si="21"/>
        <v>0</v>
      </c>
      <c r="I43" s="98">
        <f t="shared" si="21"/>
        <v>0</v>
      </c>
      <c r="J43" s="98">
        <f t="shared" si="21"/>
        <v>0</v>
      </c>
      <c r="K43" s="98">
        <f t="shared" si="21"/>
        <v>0</v>
      </c>
      <c r="L43" s="98">
        <f t="shared" si="21"/>
        <v>0</v>
      </c>
      <c r="M43" s="98">
        <f t="shared" si="21"/>
        <v>0</v>
      </c>
      <c r="N43" s="98"/>
      <c r="O43" s="75"/>
    </row>
    <row r="44" spans="1:15" s="88" customFormat="1" x14ac:dyDescent="0.2">
      <c r="A44" s="71" t="str">
        <f>IF(B44&lt;&gt;"",MAX(A$7:A43)+1,"")</f>
        <v/>
      </c>
      <c r="B44" s="72"/>
      <c r="C44" s="75"/>
      <c r="D44" s="96"/>
      <c r="E44" s="96"/>
      <c r="F44" s="96"/>
      <c r="G44" s="96"/>
      <c r="H44" s="96"/>
      <c r="I44" s="96"/>
      <c r="J44" s="96"/>
      <c r="K44" s="96"/>
      <c r="L44" s="96"/>
      <c r="M44" s="96"/>
      <c r="N44" s="96"/>
      <c r="O44" s="75"/>
    </row>
    <row r="45" spans="1:15" s="88" customFormat="1" x14ac:dyDescent="0.2">
      <c r="A45" s="71">
        <f>IF(B45&lt;&gt;"",MAX(A$7:A44)+1,"")</f>
        <v>26</v>
      </c>
      <c r="B45" s="72" t="s">
        <v>105</v>
      </c>
      <c r="C45" s="75"/>
      <c r="D45" s="96"/>
      <c r="E45" s="96"/>
      <c r="F45" s="96"/>
      <c r="G45" s="96"/>
      <c r="H45" s="96"/>
      <c r="I45" s="96"/>
      <c r="J45" s="96"/>
      <c r="K45" s="96"/>
      <c r="L45" s="96"/>
      <c r="M45" s="96"/>
      <c r="N45" s="96"/>
      <c r="O45" s="75"/>
    </row>
    <row r="46" spans="1:15" s="88" customFormat="1" x14ac:dyDescent="0.2">
      <c r="A46" s="71">
        <f>IF(B46&lt;&gt;"",MAX(A$7:A45)+1,"")</f>
        <v>27</v>
      </c>
      <c r="B46" s="75" t="s">
        <v>100</v>
      </c>
      <c r="C46" s="75"/>
      <c r="D46" s="96"/>
      <c r="E46" s="96">
        <f>D49</f>
        <v>0</v>
      </c>
      <c r="F46" s="96">
        <f t="shared" ref="F46:M46" si="22">E49</f>
        <v>2.2309966825895842</v>
      </c>
      <c r="G46" s="96">
        <f t="shared" si="22"/>
        <v>4.1572940309149935</v>
      </c>
      <c r="H46" s="96">
        <f t="shared" si="22"/>
        <v>6.0959070659378272</v>
      </c>
      <c r="I46" s="96">
        <f t="shared" si="22"/>
        <v>8.1973195723861174</v>
      </c>
      <c r="J46" s="96">
        <f t="shared" si="22"/>
        <v>10.162271784899964</v>
      </c>
      <c r="K46" s="96">
        <f t="shared" si="22"/>
        <v>12.15229344734928</v>
      </c>
      <c r="L46" s="96">
        <f t="shared" si="22"/>
        <v>14.155140168809705</v>
      </c>
      <c r="M46" s="96">
        <f t="shared" si="22"/>
        <v>16.269236140898776</v>
      </c>
      <c r="N46" s="96"/>
      <c r="O46" s="75"/>
    </row>
    <row r="47" spans="1:15" s="88" customFormat="1" x14ac:dyDescent="0.2">
      <c r="A47" s="71">
        <f>IF(B47&lt;&gt;"",MAX(A$7:A46)+1,"")</f>
        <v>28</v>
      </c>
      <c r="B47" s="75" t="s">
        <v>101</v>
      </c>
      <c r="C47" s="89">
        <v>0.5</v>
      </c>
      <c r="D47" s="96"/>
      <c r="E47" s="96">
        <f t="shared" ref="E47:M47" si="23">$C47*E76</f>
        <v>2.2309966825895842</v>
      </c>
      <c r="F47" s="96">
        <f>$C47*F76</f>
        <v>1.9262973483254096</v>
      </c>
      <c r="G47" s="96">
        <f t="shared" si="23"/>
        <v>1.9386130350228337</v>
      </c>
      <c r="H47" s="96">
        <f t="shared" si="23"/>
        <v>2.1014125064482911</v>
      </c>
      <c r="I47" s="96">
        <f t="shared" si="23"/>
        <v>1.9649522125138466</v>
      </c>
      <c r="J47" s="96">
        <f t="shared" si="23"/>
        <v>1.9900216624493148</v>
      </c>
      <c r="K47" s="96">
        <f t="shared" si="23"/>
        <v>2.0028467214604264</v>
      </c>
      <c r="L47" s="96">
        <f t="shared" si="23"/>
        <v>2.1140959720890704</v>
      </c>
      <c r="M47" s="96">
        <f t="shared" si="23"/>
        <v>2.0297238569262448</v>
      </c>
      <c r="N47" s="96"/>
      <c r="O47" s="75"/>
    </row>
    <row r="48" spans="1:15" s="88" customFormat="1" x14ac:dyDescent="0.2">
      <c r="A48" s="71">
        <f>IF(B48&lt;&gt;"",MAX(A$7:A47)+1,"")</f>
        <v>29</v>
      </c>
      <c r="B48" s="75" t="s">
        <v>102</v>
      </c>
      <c r="C48" s="75"/>
      <c r="D48" s="96"/>
      <c r="E48" s="96">
        <f>IF(SUM($D23:E23)=1,0,E22*-MIN(E46+E47,MAX(-E$31+E$42+E$36,0)))</f>
        <v>0</v>
      </c>
      <c r="F48" s="96">
        <f>IF(SUM($D23:F23)=1,0,F22*-MIN(F46+F47,MAX(-F$31+F$42+F$36,0)))</f>
        <v>0</v>
      </c>
      <c r="G48" s="96">
        <f>IF(SUM($D23:G23)=1,0,G22*-MIN(G46+G47,MAX(-G$31+G$42+G$36,0)))</f>
        <v>0</v>
      </c>
      <c r="H48" s="96">
        <f>IF(SUM($D23:H23)=1,0,H22*-MIN(H46+H47,MAX(-H$31+H$42+H$36,0)))</f>
        <v>0</v>
      </c>
      <c r="I48" s="96">
        <f>IF(SUM($D23:I23)=1,0,I22*-MIN(I46+I47,MAX(-I$31+I$42+I$36,0)))</f>
        <v>0</v>
      </c>
      <c r="J48" s="96">
        <f>IF(SUM($D23:J23)=1,0,J22*-MIN(J46+J47,MAX(-J$31+J$42+J$36,0)))</f>
        <v>0</v>
      </c>
      <c r="K48" s="96">
        <f>IF(SUM($D23:K23)=1,0,K22*-MIN(K46+K47,MAX(-K$31+K$42+K$36,0)))</f>
        <v>0</v>
      </c>
      <c r="L48" s="96">
        <f>IF(SUM($D23:L23)=1,0,L22*-MIN(L46+L47,MAX(-L$31+L$42+L$36,0)))</f>
        <v>0</v>
      </c>
      <c r="M48" s="96">
        <f>IF(SUM($D23:M23)=1,0,M22*-MIN(M46+M47,MAX(-M$31+M$42+M$36,0)))</f>
        <v>0</v>
      </c>
      <c r="N48" s="96"/>
      <c r="O48" s="75"/>
    </row>
    <row r="49" spans="1:15" s="88" customFormat="1" x14ac:dyDescent="0.2">
      <c r="A49" s="71">
        <f>IF(B49&lt;&gt;"",MAX(A$7:A48)+1,"")</f>
        <v>30</v>
      </c>
      <c r="B49" s="75" t="s">
        <v>103</v>
      </c>
      <c r="C49" s="75"/>
      <c r="D49" s="98">
        <v>0</v>
      </c>
      <c r="E49" s="98">
        <f>SUM(E46:E48)</f>
        <v>2.2309966825895842</v>
      </c>
      <c r="F49" s="98">
        <f t="shared" ref="F49:M49" si="24">SUM(F46:F48)</f>
        <v>4.1572940309149935</v>
      </c>
      <c r="G49" s="98">
        <f t="shared" si="24"/>
        <v>6.0959070659378272</v>
      </c>
      <c r="H49" s="98">
        <f t="shared" si="24"/>
        <v>8.1973195723861174</v>
      </c>
      <c r="I49" s="98">
        <f t="shared" si="24"/>
        <v>10.162271784899964</v>
      </c>
      <c r="J49" s="98">
        <f t="shared" si="24"/>
        <v>12.15229344734928</v>
      </c>
      <c r="K49" s="98">
        <f t="shared" si="24"/>
        <v>14.155140168809705</v>
      </c>
      <c r="L49" s="98">
        <f t="shared" si="24"/>
        <v>16.269236140898776</v>
      </c>
      <c r="M49" s="98">
        <f t="shared" si="24"/>
        <v>18.298959997825023</v>
      </c>
      <c r="N49" s="98"/>
      <c r="O49" s="75"/>
    </row>
    <row r="50" spans="1:15" s="88" customFormat="1" x14ac:dyDescent="0.2">
      <c r="A50" s="71" t="str">
        <f>IF(B50&lt;&gt;"",MAX(A$7:A49)+1,"")</f>
        <v/>
      </c>
      <c r="B50" s="75"/>
      <c r="C50" s="75"/>
      <c r="D50" s="75"/>
      <c r="E50" s="75"/>
      <c r="F50" s="75"/>
      <c r="G50" s="75"/>
      <c r="H50" s="75"/>
      <c r="I50" s="75"/>
      <c r="J50" s="75"/>
      <c r="K50" s="75"/>
      <c r="L50" s="75"/>
      <c r="M50" s="75"/>
      <c r="N50" s="75"/>
      <c r="O50" s="75"/>
    </row>
    <row r="51" spans="1:15" s="88" customFormat="1" x14ac:dyDescent="0.2">
      <c r="A51" s="71">
        <f>IF(B51&lt;&gt;"",MAX(A$7:A50)+1,"")</f>
        <v>31</v>
      </c>
      <c r="B51" s="72" t="s">
        <v>106</v>
      </c>
      <c r="C51" s="75"/>
      <c r="D51" s="96"/>
      <c r="E51" s="96"/>
      <c r="F51" s="96"/>
      <c r="G51" s="96"/>
      <c r="H51" s="96"/>
      <c r="I51" s="96"/>
      <c r="J51" s="96"/>
      <c r="K51" s="96"/>
      <c r="L51" s="96"/>
      <c r="M51" s="96"/>
      <c r="N51" s="96"/>
      <c r="O51" s="75"/>
    </row>
    <row r="52" spans="1:15" s="88" customFormat="1" x14ac:dyDescent="0.2">
      <c r="A52" s="71">
        <f>IF(B52&lt;&gt;"",MAX(A$7:A51)+1,"")</f>
        <v>32</v>
      </c>
      <c r="B52" s="75" t="s">
        <v>100</v>
      </c>
      <c r="C52" s="75"/>
      <c r="D52" s="96"/>
      <c r="E52" s="96">
        <f t="shared" ref="E52:M54" si="25">E40+E34+E46</f>
        <v>0</v>
      </c>
      <c r="F52" s="96">
        <f t="shared" si="25"/>
        <v>2.2309966825895842</v>
      </c>
      <c r="G52" s="96">
        <f t="shared" si="25"/>
        <v>4.1572940309149935</v>
      </c>
      <c r="H52" s="96">
        <f t="shared" si="25"/>
        <v>6.0959070659378272</v>
      </c>
      <c r="I52" s="96">
        <f t="shared" si="25"/>
        <v>8.1973195723861174</v>
      </c>
      <c r="J52" s="96">
        <f t="shared" si="25"/>
        <v>10.162271784899964</v>
      </c>
      <c r="K52" s="96">
        <f t="shared" si="25"/>
        <v>12.15229344734928</v>
      </c>
      <c r="L52" s="96">
        <f t="shared" si="25"/>
        <v>14.155140168809705</v>
      </c>
      <c r="M52" s="96">
        <f t="shared" si="25"/>
        <v>16.269236140898776</v>
      </c>
      <c r="N52" s="96"/>
      <c r="O52" s="75"/>
    </row>
    <row r="53" spans="1:15" s="88" customFormat="1" x14ac:dyDescent="0.2">
      <c r="A53" s="71">
        <f>IF(B53&lt;&gt;"",MAX(A$7:A52)+1,"")</f>
        <v>33</v>
      </c>
      <c r="B53" s="75" t="s">
        <v>101</v>
      </c>
      <c r="C53" s="75"/>
      <c r="D53" s="96"/>
      <c r="E53" s="96">
        <f t="shared" si="25"/>
        <v>2.2309966825895842</v>
      </c>
      <c r="F53" s="96">
        <f t="shared" si="25"/>
        <v>1.9262973483254096</v>
      </c>
      <c r="G53" s="96">
        <f t="shared" si="25"/>
        <v>1.9386130350228337</v>
      </c>
      <c r="H53" s="96">
        <f t="shared" si="25"/>
        <v>2.1014125064482911</v>
      </c>
      <c r="I53" s="96">
        <f t="shared" si="25"/>
        <v>1.9649522125138466</v>
      </c>
      <c r="J53" s="96">
        <f t="shared" si="25"/>
        <v>1.9900216624493148</v>
      </c>
      <c r="K53" s="96">
        <f t="shared" si="25"/>
        <v>2.0028467214604264</v>
      </c>
      <c r="L53" s="96">
        <f t="shared" si="25"/>
        <v>2.1140959720890704</v>
      </c>
      <c r="M53" s="96">
        <f t="shared" si="25"/>
        <v>2.0297238569262448</v>
      </c>
      <c r="N53" s="96"/>
      <c r="O53" s="75"/>
    </row>
    <row r="54" spans="1:15" s="88" customFormat="1" x14ac:dyDescent="0.2">
      <c r="A54" s="71">
        <f>IF(B54&lt;&gt;"",MAX(A$7:A53)+1,"")</f>
        <v>34</v>
      </c>
      <c r="B54" s="75" t="s">
        <v>102</v>
      </c>
      <c r="C54" s="75"/>
      <c r="D54" s="96"/>
      <c r="E54" s="96">
        <f t="shared" si="25"/>
        <v>0</v>
      </c>
      <c r="F54" s="96">
        <f t="shared" si="25"/>
        <v>0</v>
      </c>
      <c r="G54" s="96">
        <f t="shared" si="25"/>
        <v>0</v>
      </c>
      <c r="H54" s="96">
        <f t="shared" si="25"/>
        <v>0</v>
      </c>
      <c r="I54" s="96">
        <f t="shared" si="25"/>
        <v>0</v>
      </c>
      <c r="J54" s="96">
        <f t="shared" si="25"/>
        <v>0</v>
      </c>
      <c r="K54" s="96">
        <f t="shared" si="25"/>
        <v>0</v>
      </c>
      <c r="L54" s="96">
        <f t="shared" si="25"/>
        <v>0</v>
      </c>
      <c r="M54" s="96">
        <f t="shared" si="25"/>
        <v>0</v>
      </c>
      <c r="N54" s="96"/>
      <c r="O54" s="75"/>
    </row>
    <row r="55" spans="1:15" s="88" customFormat="1" x14ac:dyDescent="0.2">
      <c r="A55" s="71">
        <f>IF(B55&lt;&gt;"",MAX(A$7:A54)+1,"")</f>
        <v>35</v>
      </c>
      <c r="B55" s="75" t="s">
        <v>103</v>
      </c>
      <c r="C55" s="75"/>
      <c r="D55" s="98">
        <v>0</v>
      </c>
      <c r="E55" s="98">
        <f>SUM(E52:E54)</f>
        <v>2.2309966825895842</v>
      </c>
      <c r="F55" s="98">
        <f t="shared" ref="F55:M55" si="26">SUM(F52:F54)</f>
        <v>4.1572940309149935</v>
      </c>
      <c r="G55" s="98">
        <f t="shared" si="26"/>
        <v>6.0959070659378272</v>
      </c>
      <c r="H55" s="98">
        <f t="shared" si="26"/>
        <v>8.1973195723861174</v>
      </c>
      <c r="I55" s="98">
        <f t="shared" si="26"/>
        <v>10.162271784899964</v>
      </c>
      <c r="J55" s="98">
        <f t="shared" si="26"/>
        <v>12.15229344734928</v>
      </c>
      <c r="K55" s="98">
        <f t="shared" si="26"/>
        <v>14.155140168809705</v>
      </c>
      <c r="L55" s="98">
        <f t="shared" si="26"/>
        <v>16.269236140898776</v>
      </c>
      <c r="M55" s="98">
        <f t="shared" si="26"/>
        <v>18.298959997825023</v>
      </c>
      <c r="N55" s="98"/>
      <c r="O55" s="75"/>
    </row>
    <row r="56" spans="1:15" s="88" customFormat="1" x14ac:dyDescent="0.2">
      <c r="A56" s="71" t="str">
        <f>IF(B56&lt;&gt;"",MAX(A$7:A55)+1,"")</f>
        <v/>
      </c>
      <c r="B56" s="75"/>
      <c r="C56" s="75"/>
      <c r="D56" s="75"/>
      <c r="E56" s="75"/>
      <c r="F56" s="75"/>
      <c r="G56" s="75"/>
      <c r="H56" s="75"/>
      <c r="I56" s="75"/>
      <c r="J56" s="75"/>
      <c r="K56" s="75"/>
      <c r="L56" s="75"/>
      <c r="M56" s="75"/>
      <c r="N56" s="75"/>
      <c r="O56" s="75"/>
    </row>
    <row r="57" spans="1:15" s="88" customFormat="1" x14ac:dyDescent="0.2">
      <c r="A57" s="71">
        <f>IF(B57&lt;&gt;"",MAX(A$7:A56)+1,"")</f>
        <v>36</v>
      </c>
      <c r="B57" s="72" t="s">
        <v>107</v>
      </c>
      <c r="C57" s="75"/>
      <c r="D57" s="75"/>
      <c r="E57" s="75"/>
      <c r="F57" s="75"/>
      <c r="G57" s="75"/>
      <c r="H57" s="75"/>
      <c r="I57" s="75"/>
      <c r="J57" s="75"/>
      <c r="K57" s="75"/>
      <c r="L57" s="75"/>
      <c r="M57" s="75"/>
      <c r="N57" s="75"/>
      <c r="O57" s="75"/>
    </row>
    <row r="58" spans="1:15" s="88" customFormat="1" x14ac:dyDescent="0.2">
      <c r="A58" s="71">
        <f>IF(B58&lt;&gt;"",MAX(A$7:A57)+1,"")</f>
        <v>37</v>
      </c>
      <c r="B58" s="75" t="s">
        <v>97</v>
      </c>
      <c r="C58" s="75"/>
      <c r="D58" s="96">
        <f t="shared" ref="D58:M58" si="27">D30</f>
        <v>0</v>
      </c>
      <c r="E58" s="96">
        <f t="shared" si="27"/>
        <v>218.6</v>
      </c>
      <c r="F58" s="96">
        <f t="shared" si="27"/>
        <v>0</v>
      </c>
      <c r="G58" s="96">
        <f t="shared" si="27"/>
        <v>210</v>
      </c>
      <c r="H58" s="96">
        <f t="shared" si="27"/>
        <v>0</v>
      </c>
      <c r="I58" s="96">
        <f t="shared" si="27"/>
        <v>210</v>
      </c>
      <c r="J58" s="96">
        <f t="shared" si="27"/>
        <v>0</v>
      </c>
      <c r="K58" s="96">
        <f t="shared" si="27"/>
        <v>210</v>
      </c>
      <c r="L58" s="96">
        <f t="shared" si="27"/>
        <v>0</v>
      </c>
      <c r="M58" s="96">
        <f t="shared" si="27"/>
        <v>967.46152771820255</v>
      </c>
      <c r="N58" s="96"/>
      <c r="O58" s="75"/>
    </row>
    <row r="59" spans="1:15" s="88" customFormat="1" x14ac:dyDescent="0.2">
      <c r="A59" s="71">
        <f>IF(B59&lt;&gt;"",MAX(A$7:A58)+1,"")</f>
        <v>38</v>
      </c>
      <c r="B59" s="75" t="s">
        <v>108</v>
      </c>
      <c r="C59" s="75"/>
      <c r="D59" s="96">
        <f>D29</f>
        <v>0</v>
      </c>
      <c r="E59" s="96">
        <f t="shared" ref="E59:M59" si="28">E22*E29</f>
        <v>0</v>
      </c>
      <c r="F59" s="96">
        <f t="shared" si="28"/>
        <v>0</v>
      </c>
      <c r="G59" s="96">
        <f t="shared" si="28"/>
        <v>0</v>
      </c>
      <c r="H59" s="96">
        <f t="shared" si="28"/>
        <v>0</v>
      </c>
      <c r="I59" s="96">
        <f t="shared" si="28"/>
        <v>0</v>
      </c>
      <c r="J59" s="96">
        <f t="shared" si="28"/>
        <v>0</v>
      </c>
      <c r="K59" s="96">
        <f t="shared" si="28"/>
        <v>0</v>
      </c>
      <c r="L59" s="96">
        <f t="shared" si="28"/>
        <v>0</v>
      </c>
      <c r="M59" s="96">
        <f t="shared" si="28"/>
        <v>0</v>
      </c>
      <c r="N59" s="96"/>
      <c r="O59" s="75"/>
    </row>
    <row r="60" spans="1:15" s="88" customFormat="1" x14ac:dyDescent="0.2">
      <c r="A60" s="71">
        <f>IF(B60&lt;&gt;"",MAX(A$7:A59)+1,"")</f>
        <v>39</v>
      </c>
      <c r="B60" s="75" t="s">
        <v>109</v>
      </c>
      <c r="C60" s="75"/>
      <c r="D60" s="96">
        <f>-D48</f>
        <v>0</v>
      </c>
      <c r="E60" s="96">
        <f t="shared" ref="E60:M60" si="29">E22*-E36</f>
        <v>0</v>
      </c>
      <c r="F60" s="96">
        <f t="shared" si="29"/>
        <v>0</v>
      </c>
      <c r="G60" s="96">
        <f t="shared" si="29"/>
        <v>0</v>
      </c>
      <c r="H60" s="96">
        <f t="shared" si="29"/>
        <v>0</v>
      </c>
      <c r="I60" s="96">
        <f t="shared" si="29"/>
        <v>0</v>
      </c>
      <c r="J60" s="96">
        <f t="shared" si="29"/>
        <v>0</v>
      </c>
      <c r="K60" s="96">
        <f t="shared" si="29"/>
        <v>0</v>
      </c>
      <c r="L60" s="96">
        <f t="shared" si="29"/>
        <v>0</v>
      </c>
      <c r="M60" s="96">
        <f t="shared" si="29"/>
        <v>0</v>
      </c>
      <c r="N60" s="96"/>
      <c r="O60" s="75"/>
    </row>
    <row r="61" spans="1:15" s="88" customFormat="1" x14ac:dyDescent="0.2">
      <c r="A61" s="71">
        <f>IF(B61&lt;&gt;"",MAX(A$7:A60)+1,"")</f>
        <v>40</v>
      </c>
      <c r="B61" s="75" t="s">
        <v>110</v>
      </c>
      <c r="C61" s="75"/>
      <c r="D61" s="96">
        <f>-D42-D36</f>
        <v>0</v>
      </c>
      <c r="E61" s="96">
        <f t="shared" ref="E61:M61" si="30">E22*(-E42-E48)</f>
        <v>0</v>
      </c>
      <c r="F61" s="96">
        <f t="shared" si="30"/>
        <v>0</v>
      </c>
      <c r="G61" s="96">
        <f t="shared" si="30"/>
        <v>0</v>
      </c>
      <c r="H61" s="96">
        <f t="shared" si="30"/>
        <v>0</v>
      </c>
      <c r="I61" s="96">
        <f t="shared" si="30"/>
        <v>0</v>
      </c>
      <c r="J61" s="96">
        <f t="shared" si="30"/>
        <v>0</v>
      </c>
      <c r="K61" s="96">
        <f t="shared" si="30"/>
        <v>0</v>
      </c>
      <c r="L61" s="96">
        <f t="shared" si="30"/>
        <v>0</v>
      </c>
      <c r="M61" s="96">
        <f t="shared" si="30"/>
        <v>0</v>
      </c>
      <c r="N61" s="96"/>
      <c r="O61" s="75"/>
    </row>
    <row r="62" spans="1:15" s="88" customFormat="1" x14ac:dyDescent="0.2">
      <c r="A62" s="71">
        <f>IF(B62&lt;&gt;"",MAX(A$7:A61)+1,"")</f>
        <v>41</v>
      </c>
      <c r="B62" s="75" t="s">
        <v>111</v>
      </c>
      <c r="C62" s="75"/>
      <c r="D62" s="98">
        <f>D59+D60</f>
        <v>0</v>
      </c>
      <c r="E62" s="98">
        <f>E59+E60</f>
        <v>0</v>
      </c>
      <c r="F62" s="98">
        <f t="shared" ref="F62:M62" si="31">F59+F60</f>
        <v>0</v>
      </c>
      <c r="G62" s="98">
        <f t="shared" si="31"/>
        <v>0</v>
      </c>
      <c r="H62" s="98">
        <f t="shared" si="31"/>
        <v>0</v>
      </c>
      <c r="I62" s="98">
        <f t="shared" si="31"/>
        <v>0</v>
      </c>
      <c r="J62" s="98">
        <f t="shared" si="31"/>
        <v>0</v>
      </c>
      <c r="K62" s="98">
        <f t="shared" si="31"/>
        <v>0</v>
      </c>
      <c r="L62" s="98">
        <f t="shared" si="31"/>
        <v>0</v>
      </c>
      <c r="M62" s="98">
        <f t="shared" si="31"/>
        <v>0</v>
      </c>
      <c r="N62" s="98"/>
      <c r="O62" s="75"/>
    </row>
    <row r="63" spans="1:15" s="88" customFormat="1" x14ac:dyDescent="0.2">
      <c r="A63" s="71" t="str">
        <f>IF(B63&lt;&gt;"",MAX(A$7:A62)+1,"")</f>
        <v/>
      </c>
      <c r="B63" s="75"/>
      <c r="C63" s="75"/>
      <c r="D63" s="75"/>
      <c r="E63" s="75"/>
      <c r="F63" s="75"/>
      <c r="G63" s="75"/>
      <c r="H63" s="75"/>
      <c r="I63" s="75"/>
      <c r="J63" s="75"/>
      <c r="K63" s="75"/>
      <c r="L63" s="75"/>
      <c r="M63" s="75"/>
      <c r="N63" s="75"/>
      <c r="O63" s="75"/>
    </row>
    <row r="64" spans="1:15" s="88" customFormat="1" x14ac:dyDescent="0.2">
      <c r="A64" s="71">
        <f>IF(B64&lt;&gt;"",MAX(A$7:A63)+1,"")</f>
        <v>42</v>
      </c>
      <c r="B64" s="72" t="s">
        <v>112</v>
      </c>
      <c r="C64" s="75"/>
      <c r="D64" s="75"/>
      <c r="E64" s="75"/>
      <c r="F64" s="75"/>
      <c r="G64" s="75"/>
      <c r="H64" s="75"/>
      <c r="I64" s="75"/>
      <c r="J64" s="75"/>
      <c r="K64" s="75"/>
      <c r="L64" s="75"/>
      <c r="M64" s="75"/>
      <c r="N64" s="75"/>
      <c r="O64" s="75"/>
    </row>
    <row r="65" spans="1:15" s="99" customFormat="1" x14ac:dyDescent="0.2">
      <c r="A65" s="71">
        <f>IF(B65&lt;&gt;"",MAX(A$7:A64)+1,"")</f>
        <v>43</v>
      </c>
      <c r="B65" s="96" t="s">
        <v>113</v>
      </c>
      <c r="C65" s="96"/>
      <c r="D65" s="96">
        <f>79941304/4000000</f>
        <v>19.985326000000001</v>
      </c>
      <c r="E65" s="96">
        <f>79941304/4000000</f>
        <v>19.985326000000001</v>
      </c>
      <c r="F65" s="96">
        <f>79941304/4000000*(1-SUM($D23:E23))*(1+F$17)^(1/4)</f>
        <v>20.064792084228721</v>
      </c>
      <c r="G65" s="96">
        <f>79941304/4000000*(1-SUM($D23:F23))*(1+G$17)^(1/4)</f>
        <v>20.064792084228721</v>
      </c>
      <c r="H65" s="96">
        <f>79941304/4000000*(1-SUM($D23:G23))*(1+H$17)^(1/4)</f>
        <v>20.064792084228721</v>
      </c>
      <c r="I65" s="96">
        <f>79941304/4000000*(1-SUM($D23:H23))*(1+I$17)^(1/4)</f>
        <v>20.064792084228721</v>
      </c>
      <c r="J65" s="96">
        <f>79941304/4000000*(1-SUM($D23:I23))*(1+J$17)^(1/4)</f>
        <v>20.064792084228721</v>
      </c>
      <c r="K65" s="96">
        <f>79941304/4000000*(1-SUM($D23:J23))*(1+K$17)^(1/4)</f>
        <v>20.064792084228721</v>
      </c>
      <c r="L65" s="96">
        <f>79941304/4000000*(1-SUM($D23:K23))*(1+L$17)^(1/4)</f>
        <v>20.064792084228721</v>
      </c>
      <c r="M65" s="96">
        <f>79941304/4000000*(1-SUM($D23:L23))*(1+M$17)^(1/4)</f>
        <v>20.064792084228721</v>
      </c>
      <c r="N65" s="96"/>
      <c r="O65" s="75"/>
    </row>
    <row r="66" spans="1:15" s="88" customFormat="1" x14ac:dyDescent="0.2">
      <c r="A66" s="71">
        <f>IF(B66&lt;&gt;"",MAX(A$7:A65)+1,"")</f>
        <v>44</v>
      </c>
      <c r="B66" s="75" t="s">
        <v>114</v>
      </c>
      <c r="C66" s="75"/>
      <c r="D66" s="96">
        <f>-3.7</f>
        <v>-3.7</v>
      </c>
      <c r="E66" s="96">
        <f>(1+E$17)^(1/4)*D66*(1-SUM(D23:$D23))</f>
        <v>-3.7147120197912344</v>
      </c>
      <c r="F66" s="96">
        <f>(1+F$17)^(1/4)*E66*(1-SUM($D23:E23))</f>
        <v>-3.7294825378328302</v>
      </c>
      <c r="G66" s="96">
        <f>(1+G$17)^(1/4)*F66*(1-SUM($D23:F23))</f>
        <v>-3.7443117867267919</v>
      </c>
      <c r="H66" s="96">
        <f>(1+H$17)^(1/4)*G66*(1-SUM($D23:G23))</f>
        <v>-3.7592000000000017</v>
      </c>
      <c r="I66" s="96">
        <f>(1+I$17)^(1/4)*H66*(1-SUM($D23:H23))</f>
        <v>-3.7741474121078955</v>
      </c>
      <c r="J66" s="96">
        <f>(1+J$17)^(1/4)*I66*(1-SUM($D23:I23))</f>
        <v>-3.7891542584381566</v>
      </c>
      <c r="K66" s="96">
        <f>(1+K$17)^(1/4)*J66*(1-SUM($D23:J23))</f>
        <v>-3.8042207753144215</v>
      </c>
      <c r="L66" s="96">
        <f>(1+L$17)^(1/4)*K66*(1-SUM($D23:K23))</f>
        <v>-3.8193472000000024</v>
      </c>
      <c r="M66" s="96">
        <f>(1+M$17)^(1/4)*L66*(1-SUM($D23:L23))</f>
        <v>-3.8345337707016225</v>
      </c>
      <c r="N66" s="96"/>
      <c r="O66" s="75"/>
    </row>
    <row r="67" spans="1:15" s="88" customFormat="1" x14ac:dyDescent="0.2">
      <c r="A67" s="71">
        <f>IF(B67&lt;&gt;"",MAX(A$7:A66)+1,"")</f>
        <v>45</v>
      </c>
      <c r="B67" s="75" t="s">
        <v>115</v>
      </c>
      <c r="C67" s="75"/>
      <c r="D67" s="98">
        <f>SUM(D65:D66)</f>
        <v>16.285326000000001</v>
      </c>
      <c r="E67" s="98">
        <f t="shared" ref="E67:M67" si="32">SUM(E65:E66)</f>
        <v>16.270613980208765</v>
      </c>
      <c r="F67" s="98">
        <f t="shared" si="32"/>
        <v>16.335309546395891</v>
      </c>
      <c r="G67" s="98">
        <f t="shared" si="32"/>
        <v>16.320480297501931</v>
      </c>
      <c r="H67" s="98">
        <f t="shared" si="32"/>
        <v>16.305592084228721</v>
      </c>
      <c r="I67" s="98">
        <f t="shared" si="32"/>
        <v>16.290644672120827</v>
      </c>
      <c r="J67" s="98">
        <f t="shared" si="32"/>
        <v>16.275637825790565</v>
      </c>
      <c r="K67" s="98">
        <f t="shared" si="32"/>
        <v>16.260571308914301</v>
      </c>
      <c r="L67" s="98">
        <f t="shared" si="32"/>
        <v>16.245444884228718</v>
      </c>
      <c r="M67" s="98">
        <f t="shared" si="32"/>
        <v>16.230258313527099</v>
      </c>
      <c r="N67" s="98"/>
      <c r="O67" s="75"/>
    </row>
    <row r="68" spans="1:15" s="88" customFormat="1" x14ac:dyDescent="0.2">
      <c r="A68" s="71" t="str">
        <f>IF(B68&lt;&gt;"",MAX(A$7:A67)+1,"")</f>
        <v/>
      </c>
      <c r="B68" s="75"/>
      <c r="C68" s="75"/>
      <c r="D68" s="75"/>
      <c r="E68" s="75"/>
      <c r="F68" s="89"/>
      <c r="G68" s="89"/>
      <c r="H68" s="89"/>
      <c r="I68" s="89"/>
      <c r="J68" s="89"/>
      <c r="K68" s="89"/>
      <c r="L68" s="89"/>
      <c r="M68" s="89"/>
      <c r="N68" s="75"/>
      <c r="O68" s="75"/>
    </row>
    <row r="69" spans="1:15" s="88" customFormat="1" x14ac:dyDescent="0.2">
      <c r="A69" s="71">
        <f>IF(B69&lt;&gt;"",MAX(A$7:A68)+1,"")</f>
        <v>46</v>
      </c>
      <c r="B69" s="75" t="s">
        <v>116</v>
      </c>
      <c r="C69" s="75"/>
      <c r="D69" s="96">
        <f>D96+D97</f>
        <v>-11.343</v>
      </c>
      <c r="E69" s="96">
        <f t="shared" ref="E69:M69" si="33">E96+E97</f>
        <v>-11.595066666666664</v>
      </c>
      <c r="F69" s="96">
        <f t="shared" si="33"/>
        <v>-12.519953815566716</v>
      </c>
      <c r="G69" s="96">
        <f t="shared" si="33"/>
        <v>-12.474526587300273</v>
      </c>
      <c r="H69" s="96">
        <f t="shared" si="33"/>
        <v>-12.023521674833381</v>
      </c>
      <c r="I69" s="96">
        <f t="shared" si="33"/>
        <v>-12.379252011630939</v>
      </c>
      <c r="J69" s="96">
        <f t="shared" si="33"/>
        <v>-12.460690976365075</v>
      </c>
      <c r="K69" s="96">
        <f t="shared" si="33"/>
        <v>-12.413760958840088</v>
      </c>
      <c r="L69" s="96">
        <f t="shared" si="33"/>
        <v>-12.097690916305561</v>
      </c>
      <c r="M69" s="96">
        <f t="shared" si="33"/>
        <v>-12.316672471612343</v>
      </c>
      <c r="N69" s="96"/>
      <c r="O69" s="75"/>
    </row>
    <row r="70" spans="1:15" s="88" customFormat="1" x14ac:dyDescent="0.2">
      <c r="A70" s="71">
        <f>IF(B70&lt;&gt;"",MAX(A$7:A69)+1,"")</f>
        <v>47</v>
      </c>
      <c r="B70" s="75" t="s">
        <v>117</v>
      </c>
      <c r="C70" s="75"/>
      <c r="D70" s="75">
        <f>D98</f>
        <v>0</v>
      </c>
      <c r="E70" s="75">
        <f t="shared" ref="E70:M70" si="34">E98</f>
        <v>0</v>
      </c>
      <c r="F70" s="75">
        <f t="shared" si="34"/>
        <v>0</v>
      </c>
      <c r="G70" s="75">
        <f t="shared" si="34"/>
        <v>0</v>
      </c>
      <c r="H70" s="75">
        <f t="shared" si="34"/>
        <v>0</v>
      </c>
      <c r="I70" s="75">
        <f t="shared" si="34"/>
        <v>0</v>
      </c>
      <c r="J70" s="75">
        <f t="shared" si="34"/>
        <v>0</v>
      </c>
      <c r="K70" s="75">
        <f t="shared" si="34"/>
        <v>0</v>
      </c>
      <c r="L70" s="75">
        <f t="shared" si="34"/>
        <v>0</v>
      </c>
      <c r="M70" s="75">
        <f t="shared" si="34"/>
        <v>0</v>
      </c>
      <c r="N70" s="75"/>
      <c r="O70" s="75"/>
    </row>
    <row r="71" spans="1:15" s="88" customFormat="1" x14ac:dyDescent="0.2">
      <c r="A71" s="71">
        <f>IF(B71&lt;&gt;"",MAX(A$7:A70)+1,"")</f>
        <v>48</v>
      </c>
      <c r="B71" s="75" t="s">
        <v>118</v>
      </c>
      <c r="C71" s="75"/>
      <c r="D71" s="98">
        <f>D67+D69+D70</f>
        <v>4.9423260000000013</v>
      </c>
      <c r="E71" s="98">
        <f t="shared" ref="E71:M71" si="35">E67+E69+E70</f>
        <v>4.6755473135421006</v>
      </c>
      <c r="F71" s="98">
        <f t="shared" si="35"/>
        <v>3.8153557308291752</v>
      </c>
      <c r="G71" s="98">
        <f t="shared" si="35"/>
        <v>3.8459537102016572</v>
      </c>
      <c r="H71" s="98">
        <f t="shared" si="35"/>
        <v>4.2820704093953399</v>
      </c>
      <c r="I71" s="98">
        <f t="shared" si="35"/>
        <v>3.9113926604898879</v>
      </c>
      <c r="J71" s="98">
        <f t="shared" si="35"/>
        <v>3.814946849425489</v>
      </c>
      <c r="K71" s="98">
        <f t="shared" si="35"/>
        <v>3.8468103500742128</v>
      </c>
      <c r="L71" s="98">
        <f t="shared" si="35"/>
        <v>4.1477539679231565</v>
      </c>
      <c r="M71" s="98">
        <f t="shared" si="35"/>
        <v>3.913585841914756</v>
      </c>
      <c r="N71" s="98"/>
      <c r="O71" s="75"/>
    </row>
    <row r="72" spans="1:15" s="88" customFormat="1" x14ac:dyDescent="0.2">
      <c r="A72" s="71" t="str">
        <f>IF(B72&lt;&gt;"",MAX(A$7:A71)+1,"")</f>
        <v/>
      </c>
      <c r="B72" s="75"/>
      <c r="C72" s="75"/>
      <c r="D72" s="96"/>
      <c r="E72" s="96"/>
      <c r="F72" s="96"/>
      <c r="G72" s="96"/>
      <c r="H72" s="96"/>
      <c r="I72" s="96"/>
      <c r="J72" s="96"/>
      <c r="K72" s="96"/>
      <c r="L72" s="96"/>
      <c r="M72" s="96"/>
      <c r="N72" s="96"/>
      <c r="O72" s="75"/>
    </row>
    <row r="73" spans="1:15" s="88" customFormat="1" x14ac:dyDescent="0.2">
      <c r="A73" s="71">
        <f>IF(B73&lt;&gt;"",MAX(A$7:A72)+1,"")</f>
        <v>49</v>
      </c>
      <c r="B73" s="75" t="s">
        <v>119</v>
      </c>
      <c r="C73" s="100">
        <v>0.19500000000000001</v>
      </c>
      <c r="D73" s="96">
        <f>-$C$73*D71</f>
        <v>-0.96375357000000028</v>
      </c>
      <c r="E73" s="96">
        <f t="shared" ref="E73:M73" si="36">-$C$73*E71</f>
        <v>-0.91173172614070963</v>
      </c>
      <c r="F73" s="96">
        <f t="shared" si="36"/>
        <v>-0.74399436751168924</v>
      </c>
      <c r="G73" s="96">
        <f t="shared" si="36"/>
        <v>-0.74996097348932322</v>
      </c>
      <c r="H73" s="96">
        <f t="shared" si="36"/>
        <v>-0.83500372983209126</v>
      </c>
      <c r="I73" s="96">
        <f t="shared" si="36"/>
        <v>-0.76272156879552822</v>
      </c>
      <c r="J73" s="96">
        <f t="shared" si="36"/>
        <v>-0.74391463563797033</v>
      </c>
      <c r="K73" s="96">
        <f t="shared" si="36"/>
        <v>-0.75012801826447151</v>
      </c>
      <c r="L73" s="96">
        <f t="shared" si="36"/>
        <v>-0.8088120237450156</v>
      </c>
      <c r="M73" s="96">
        <f t="shared" si="36"/>
        <v>-0.7631492391733774</v>
      </c>
      <c r="N73" s="96"/>
      <c r="O73" s="75"/>
    </row>
    <row r="74" spans="1:15" s="88" customFormat="1" x14ac:dyDescent="0.2">
      <c r="A74" s="71">
        <f>IF(B74&lt;&gt;"",MAX(A$7:A73)+1,"")</f>
        <v>50</v>
      </c>
      <c r="B74" s="75" t="s">
        <v>120</v>
      </c>
      <c r="C74" s="101"/>
      <c r="D74" s="98">
        <f>D71+D73</f>
        <v>3.9785724300000012</v>
      </c>
      <c r="E74" s="98">
        <f t="shared" ref="E74:M74" si="37">E71+E73</f>
        <v>3.7638155874013908</v>
      </c>
      <c r="F74" s="98">
        <f t="shared" si="37"/>
        <v>3.0713613633174859</v>
      </c>
      <c r="G74" s="98">
        <f t="shared" si="37"/>
        <v>3.0959927367123341</v>
      </c>
      <c r="H74" s="98">
        <f t="shared" si="37"/>
        <v>3.4470666795632487</v>
      </c>
      <c r="I74" s="98">
        <f t="shared" si="37"/>
        <v>3.1486710916943599</v>
      </c>
      <c r="J74" s="98">
        <f t="shared" si="37"/>
        <v>3.0710322137875186</v>
      </c>
      <c r="K74" s="98">
        <f t="shared" si="37"/>
        <v>3.0966823318097414</v>
      </c>
      <c r="L74" s="98">
        <f t="shared" si="37"/>
        <v>3.3389419441781412</v>
      </c>
      <c r="M74" s="98">
        <f t="shared" si="37"/>
        <v>3.1504366027413786</v>
      </c>
      <c r="N74" s="98"/>
      <c r="O74" s="75"/>
    </row>
    <row r="75" spans="1:15" s="88" customFormat="1" x14ac:dyDescent="0.2">
      <c r="A75" s="71" t="str">
        <f>IF(B75&lt;&gt;"",MAX(A$7:A74)+1,"")</f>
        <v/>
      </c>
      <c r="B75" s="75"/>
      <c r="C75" s="101"/>
      <c r="D75" s="96"/>
      <c r="E75" s="96"/>
      <c r="F75" s="96"/>
      <c r="G75" s="96"/>
      <c r="H75" s="96"/>
      <c r="I75" s="96"/>
      <c r="J75" s="96"/>
      <c r="K75" s="96"/>
      <c r="L75" s="96"/>
      <c r="M75" s="96"/>
      <c r="N75" s="96"/>
      <c r="O75" s="75"/>
    </row>
    <row r="76" spans="1:15" s="88" customFormat="1" x14ac:dyDescent="0.2">
      <c r="A76" s="71">
        <f>IF(B76&lt;&gt;"",MAX(A$7:A75)+1,"")</f>
        <v>51</v>
      </c>
      <c r="B76" s="75" t="s">
        <v>121</v>
      </c>
      <c r="C76" s="101"/>
      <c r="D76" s="96"/>
      <c r="E76" s="96">
        <f>E74-E97</f>
        <v>4.4619933651791683</v>
      </c>
      <c r="F76" s="96">
        <f t="shared" ref="F76:M76" si="38">F74-F97</f>
        <v>3.8525946966508191</v>
      </c>
      <c r="G76" s="96">
        <f t="shared" si="38"/>
        <v>3.8772260700456673</v>
      </c>
      <c r="H76" s="96">
        <f t="shared" si="38"/>
        <v>4.2028250128965823</v>
      </c>
      <c r="I76" s="96">
        <f t="shared" si="38"/>
        <v>3.9299044250276931</v>
      </c>
      <c r="J76" s="96">
        <f t="shared" si="38"/>
        <v>3.9800433248986296</v>
      </c>
      <c r="K76" s="96">
        <f t="shared" si="38"/>
        <v>4.0056934429208528</v>
      </c>
      <c r="L76" s="96">
        <f t="shared" si="38"/>
        <v>4.2281919441781408</v>
      </c>
      <c r="M76" s="96">
        <f t="shared" si="38"/>
        <v>4.0594477138524896</v>
      </c>
      <c r="N76" s="96"/>
      <c r="O76" s="75"/>
    </row>
    <row r="77" spans="1:15" s="88" customFormat="1" x14ac:dyDescent="0.2">
      <c r="A77" s="71" t="str">
        <f>IF(B77&lt;&gt;"",MAX(A$7:A76)+1,"")</f>
        <v/>
      </c>
      <c r="B77" s="75"/>
      <c r="C77" s="75"/>
      <c r="D77" s="75"/>
      <c r="E77" s="75"/>
      <c r="F77" s="75"/>
      <c r="G77" s="75"/>
      <c r="H77" s="75"/>
      <c r="I77" s="75"/>
      <c r="J77" s="75"/>
      <c r="K77" s="75"/>
      <c r="L77" s="75"/>
      <c r="M77" s="75"/>
      <c r="O77" s="75"/>
    </row>
    <row r="78" spans="1:15" s="88" customFormat="1" x14ac:dyDescent="0.2">
      <c r="A78" s="71">
        <f>IF(B78&lt;&gt;"",MAX(A$7:A77)+1,"")</f>
        <v>52</v>
      </c>
      <c r="B78" s="102" t="s">
        <v>122</v>
      </c>
      <c r="C78" s="103"/>
      <c r="D78" s="104"/>
      <c r="E78" s="103"/>
      <c r="F78" s="103"/>
      <c r="G78" s="103"/>
      <c r="H78" s="103"/>
      <c r="I78" s="103"/>
      <c r="J78" s="103"/>
      <c r="K78" s="103"/>
      <c r="L78" s="103"/>
      <c r="M78" s="103"/>
      <c r="N78" s="103"/>
      <c r="O78" s="75"/>
    </row>
    <row r="79" spans="1:15" s="88" customFormat="1" x14ac:dyDescent="0.2">
      <c r="A79" s="71">
        <f>IF(B79&lt;&gt;"",MAX(A$7:A78)+1,"")</f>
        <v>53</v>
      </c>
      <c r="B79" s="105" t="s">
        <v>123</v>
      </c>
      <c r="C79" s="103"/>
      <c r="D79" s="104">
        <v>1000</v>
      </c>
      <c r="E79" s="104">
        <f>D79</f>
        <v>1000</v>
      </c>
      <c r="F79" s="104">
        <f t="shared" ref="F79:M79" si="39">E79</f>
        <v>1000</v>
      </c>
      <c r="G79" s="104">
        <f t="shared" si="39"/>
        <v>1000</v>
      </c>
      <c r="H79" s="104">
        <f t="shared" si="39"/>
        <v>1000</v>
      </c>
      <c r="I79" s="104">
        <f t="shared" si="39"/>
        <v>1000</v>
      </c>
      <c r="J79" s="104">
        <f t="shared" si="39"/>
        <v>1000</v>
      </c>
      <c r="K79" s="104">
        <f t="shared" si="39"/>
        <v>1000</v>
      </c>
      <c r="L79" s="104">
        <f t="shared" si="39"/>
        <v>1000</v>
      </c>
      <c r="M79" s="104">
        <f t="shared" si="39"/>
        <v>1000</v>
      </c>
      <c r="N79" s="104"/>
      <c r="O79" s="75"/>
    </row>
    <row r="80" spans="1:15" s="88" customFormat="1" x14ac:dyDescent="0.2">
      <c r="A80" s="71">
        <f>IF(B80&lt;&gt;"",MAX(A$7:A79)+1,"")</f>
        <v>54</v>
      </c>
      <c r="B80" s="105" t="s">
        <v>124</v>
      </c>
      <c r="C80" s="103"/>
      <c r="D80" s="104">
        <v>1</v>
      </c>
      <c r="E80" s="104">
        <f t="shared" ref="E80:M93" si="40">D80</f>
        <v>1</v>
      </c>
      <c r="F80" s="104">
        <f t="shared" si="40"/>
        <v>1</v>
      </c>
      <c r="G80" s="104">
        <f t="shared" si="40"/>
        <v>1</v>
      </c>
      <c r="H80" s="104">
        <f t="shared" si="40"/>
        <v>1</v>
      </c>
      <c r="I80" s="104">
        <f t="shared" si="40"/>
        <v>1</v>
      </c>
      <c r="J80" s="104">
        <f t="shared" si="40"/>
        <v>1</v>
      </c>
      <c r="K80" s="104">
        <f t="shared" si="40"/>
        <v>1</v>
      </c>
      <c r="L80" s="104">
        <f t="shared" si="40"/>
        <v>1</v>
      </c>
      <c r="M80" s="104">
        <f t="shared" si="40"/>
        <v>1</v>
      </c>
      <c r="N80" s="104"/>
      <c r="O80" s="75"/>
    </row>
    <row r="81" spans="1:15" s="88" customFormat="1" x14ac:dyDescent="0.2">
      <c r="A81" s="71">
        <f>IF(B81&lt;&gt;"",MAX(A$7:A80)+1,"")</f>
        <v>55</v>
      </c>
      <c r="B81" s="105" t="s">
        <v>125</v>
      </c>
      <c r="C81" s="103"/>
      <c r="D81" s="106">
        <v>3.6139999999999999E-2</v>
      </c>
      <c r="E81" s="106">
        <f>D81</f>
        <v>3.6139999999999999E-2</v>
      </c>
      <c r="F81" s="106">
        <f t="shared" si="40"/>
        <v>3.6139999999999999E-2</v>
      </c>
      <c r="G81" s="106">
        <f t="shared" si="40"/>
        <v>3.6139999999999999E-2</v>
      </c>
      <c r="H81" s="106">
        <f t="shared" si="40"/>
        <v>3.6139999999999999E-2</v>
      </c>
      <c r="I81" s="106">
        <f t="shared" si="40"/>
        <v>3.6139999999999999E-2</v>
      </c>
      <c r="J81" s="106">
        <f t="shared" si="40"/>
        <v>3.6139999999999999E-2</v>
      </c>
      <c r="K81" s="106">
        <f t="shared" si="40"/>
        <v>3.6139999999999999E-2</v>
      </c>
      <c r="L81" s="106">
        <f t="shared" si="40"/>
        <v>3.6139999999999999E-2</v>
      </c>
      <c r="M81" s="106">
        <f t="shared" si="40"/>
        <v>3.6139999999999999E-2</v>
      </c>
      <c r="N81" s="106"/>
      <c r="O81" s="75"/>
    </row>
    <row r="82" spans="1:15" s="88" customFormat="1" x14ac:dyDescent="0.2">
      <c r="A82" s="71">
        <f>IF(B82&lt;&gt;"",MAX(A$7:A81)+1,"")</f>
        <v>56</v>
      </c>
      <c r="B82" s="105" t="s">
        <v>126</v>
      </c>
      <c r="C82" s="103"/>
      <c r="D82" s="106">
        <v>6.4999999999999997E-3</v>
      </c>
      <c r="E82" s="106">
        <v>6.4999999999999997E-3</v>
      </c>
      <c r="F82" s="106">
        <v>0.01</v>
      </c>
      <c r="G82" s="106">
        <f t="shared" si="40"/>
        <v>0.01</v>
      </c>
      <c r="H82" s="106">
        <f t="shared" si="40"/>
        <v>0.01</v>
      </c>
      <c r="I82" s="106">
        <f t="shared" si="40"/>
        <v>0.01</v>
      </c>
      <c r="J82" s="106">
        <f t="shared" si="40"/>
        <v>0.01</v>
      </c>
      <c r="K82" s="106">
        <f t="shared" si="40"/>
        <v>0.01</v>
      </c>
      <c r="L82" s="106">
        <f t="shared" si="40"/>
        <v>0.01</v>
      </c>
      <c r="M82" s="106">
        <f t="shared" si="40"/>
        <v>0.01</v>
      </c>
      <c r="N82" s="106"/>
      <c r="O82" s="75"/>
    </row>
    <row r="83" spans="1:15" s="88" customFormat="1" x14ac:dyDescent="0.2">
      <c r="A83" s="71">
        <f>IF(B83&lt;&gt;"",MAX(A$7:A82)+1,"")</f>
        <v>57</v>
      </c>
      <c r="B83" s="105" t="s">
        <v>127</v>
      </c>
      <c r="C83" s="103"/>
      <c r="D83" s="106">
        <f>D81+D82</f>
        <v>4.2639999999999997E-2</v>
      </c>
      <c r="E83" s="106">
        <f t="shared" ref="E83:M83" si="41">E81+E82</f>
        <v>4.2639999999999997E-2</v>
      </c>
      <c r="F83" s="106">
        <f t="shared" si="41"/>
        <v>4.614E-2</v>
      </c>
      <c r="G83" s="106">
        <f t="shared" si="41"/>
        <v>4.614E-2</v>
      </c>
      <c r="H83" s="106">
        <f t="shared" si="41"/>
        <v>4.614E-2</v>
      </c>
      <c r="I83" s="106">
        <f t="shared" si="41"/>
        <v>4.614E-2</v>
      </c>
      <c r="J83" s="106">
        <f t="shared" si="41"/>
        <v>4.614E-2</v>
      </c>
      <c r="K83" s="106">
        <f t="shared" si="41"/>
        <v>4.614E-2</v>
      </c>
      <c r="L83" s="106">
        <f t="shared" si="41"/>
        <v>4.614E-2</v>
      </c>
      <c r="M83" s="106">
        <f t="shared" si="41"/>
        <v>4.614E-2</v>
      </c>
      <c r="N83" s="106"/>
      <c r="O83" s="75"/>
    </row>
    <row r="84" spans="1:15" s="88" customFormat="1" x14ac:dyDescent="0.2">
      <c r="A84" s="71" t="str">
        <f>IF(B84&lt;&gt;"",MAX(A$7:A83)+1,"")</f>
        <v/>
      </c>
      <c r="B84" s="105"/>
      <c r="C84" s="103"/>
      <c r="D84" s="104"/>
      <c r="E84" s="104"/>
      <c r="F84" s="104"/>
      <c r="G84" s="104"/>
      <c r="H84" s="104"/>
      <c r="I84" s="104"/>
      <c r="J84" s="104"/>
      <c r="K84" s="104"/>
      <c r="L84" s="104"/>
      <c r="M84" s="104"/>
      <c r="N84" s="104"/>
      <c r="O84" s="75"/>
    </row>
    <row r="85" spans="1:15" s="88" customFormat="1" x14ac:dyDescent="0.2">
      <c r="A85" s="71">
        <f>IF(B85&lt;&gt;"",MAX(A$7:A84)+1,"")</f>
        <v>58</v>
      </c>
      <c r="B85" s="105" t="s">
        <v>128</v>
      </c>
      <c r="C85" s="103"/>
      <c r="D85" s="104">
        <v>50</v>
      </c>
      <c r="E85" s="104">
        <f t="shared" si="40"/>
        <v>50</v>
      </c>
      <c r="F85" s="104">
        <f t="shared" si="40"/>
        <v>50</v>
      </c>
      <c r="G85" s="104">
        <f t="shared" si="40"/>
        <v>50</v>
      </c>
      <c r="H85" s="104">
        <f t="shared" si="40"/>
        <v>50</v>
      </c>
      <c r="I85" s="104">
        <f t="shared" si="40"/>
        <v>50</v>
      </c>
      <c r="J85" s="104">
        <f t="shared" si="40"/>
        <v>50</v>
      </c>
      <c r="K85" s="104">
        <f t="shared" si="40"/>
        <v>50</v>
      </c>
      <c r="L85" s="104">
        <f t="shared" si="40"/>
        <v>50</v>
      </c>
      <c r="M85" s="104">
        <f t="shared" si="40"/>
        <v>50</v>
      </c>
      <c r="N85" s="104"/>
      <c r="O85" s="75"/>
    </row>
    <row r="86" spans="1:15" s="88" customFormat="1" x14ac:dyDescent="0.2">
      <c r="A86" s="71">
        <f>IF(B86&lt;&gt;"",MAX(A$7:A85)+1,"")</f>
        <v>59</v>
      </c>
      <c r="B86" s="105" t="s">
        <v>129</v>
      </c>
      <c r="C86" s="103"/>
      <c r="D86" s="104">
        <v>2</v>
      </c>
      <c r="E86" s="104">
        <f t="shared" si="40"/>
        <v>2</v>
      </c>
      <c r="F86" s="104">
        <f t="shared" si="40"/>
        <v>2</v>
      </c>
      <c r="G86" s="104">
        <f t="shared" si="40"/>
        <v>2</v>
      </c>
      <c r="H86" s="104">
        <f t="shared" si="40"/>
        <v>2</v>
      </c>
      <c r="I86" s="104">
        <f t="shared" si="40"/>
        <v>2</v>
      </c>
      <c r="J86" s="104">
        <f t="shared" si="40"/>
        <v>2</v>
      </c>
      <c r="K86" s="104">
        <f t="shared" si="40"/>
        <v>2</v>
      </c>
      <c r="L86" s="104">
        <f t="shared" si="40"/>
        <v>2</v>
      </c>
      <c r="M86" s="104">
        <f t="shared" si="40"/>
        <v>2</v>
      </c>
      <c r="N86" s="104"/>
      <c r="O86" s="75"/>
    </row>
    <row r="87" spans="1:15" s="88" customFormat="1" x14ac:dyDescent="0.2">
      <c r="A87" s="71">
        <f>IF(B87&lt;&gt;"",MAX(A$7:A86)+1,"")</f>
        <v>60</v>
      </c>
      <c r="B87" s="105" t="s">
        <v>130</v>
      </c>
      <c r="C87" s="103"/>
      <c r="D87" s="107">
        <f>D81</f>
        <v>3.6139999999999999E-2</v>
      </c>
      <c r="E87" s="107">
        <f>D87</f>
        <v>3.6139999999999999E-2</v>
      </c>
      <c r="F87" s="107">
        <f t="shared" si="40"/>
        <v>3.6139999999999999E-2</v>
      </c>
      <c r="G87" s="107">
        <f t="shared" si="40"/>
        <v>3.6139999999999999E-2</v>
      </c>
      <c r="H87" s="107">
        <f t="shared" si="40"/>
        <v>3.6139999999999999E-2</v>
      </c>
      <c r="I87" s="107">
        <f t="shared" si="40"/>
        <v>3.6139999999999999E-2</v>
      </c>
      <c r="J87" s="107">
        <f t="shared" si="40"/>
        <v>3.6139999999999999E-2</v>
      </c>
      <c r="K87" s="107">
        <f t="shared" si="40"/>
        <v>3.6139999999999999E-2</v>
      </c>
      <c r="L87" s="107">
        <f t="shared" si="40"/>
        <v>3.6139999999999999E-2</v>
      </c>
      <c r="M87" s="107">
        <f t="shared" si="40"/>
        <v>3.6139999999999999E-2</v>
      </c>
      <c r="N87" s="107"/>
      <c r="O87" s="75"/>
    </row>
    <row r="88" spans="1:15" s="88" customFormat="1" x14ac:dyDescent="0.2">
      <c r="A88" s="71">
        <f>IF(B88&lt;&gt;"",MAX(A$7:A87)+1,"")</f>
        <v>61</v>
      </c>
      <c r="B88" s="105" t="s">
        <v>131</v>
      </c>
      <c r="C88" s="103"/>
      <c r="D88" s="107">
        <v>1.8499999999999999E-2</v>
      </c>
      <c r="E88" s="107">
        <f>D88</f>
        <v>1.8499999999999999E-2</v>
      </c>
      <c r="F88" s="107">
        <v>2.5000000000000001E-2</v>
      </c>
      <c r="G88" s="107">
        <f>F88</f>
        <v>2.5000000000000001E-2</v>
      </c>
      <c r="H88" s="107">
        <f t="shared" si="40"/>
        <v>2.5000000000000001E-2</v>
      </c>
      <c r="I88" s="107">
        <f t="shared" si="40"/>
        <v>2.5000000000000001E-2</v>
      </c>
      <c r="J88" s="107">
        <v>3.5000000000000003E-2</v>
      </c>
      <c r="K88" s="107">
        <f>J88</f>
        <v>3.5000000000000003E-2</v>
      </c>
      <c r="L88" s="107">
        <f t="shared" si="40"/>
        <v>3.5000000000000003E-2</v>
      </c>
      <c r="M88" s="107">
        <f t="shared" si="40"/>
        <v>3.5000000000000003E-2</v>
      </c>
      <c r="N88" s="107"/>
      <c r="O88" s="75"/>
    </row>
    <row r="89" spans="1:15" s="88" customFormat="1" x14ac:dyDescent="0.2">
      <c r="A89" s="71">
        <f>IF(B89&lt;&gt;"",MAX(A$7:A88)+1,"")</f>
        <v>62</v>
      </c>
      <c r="B89" s="105" t="s">
        <v>132</v>
      </c>
      <c r="C89" s="103"/>
      <c r="D89" s="107">
        <f>D87+D88</f>
        <v>5.4639999999999994E-2</v>
      </c>
      <c r="E89" s="107">
        <f t="shared" ref="E89:M89" si="42">E87+E88</f>
        <v>5.4639999999999994E-2</v>
      </c>
      <c r="F89" s="107">
        <f t="shared" si="42"/>
        <v>6.114E-2</v>
      </c>
      <c r="G89" s="107">
        <f t="shared" si="42"/>
        <v>6.114E-2</v>
      </c>
      <c r="H89" s="107">
        <f t="shared" si="42"/>
        <v>6.114E-2</v>
      </c>
      <c r="I89" s="107">
        <f t="shared" si="42"/>
        <v>6.114E-2</v>
      </c>
      <c r="J89" s="107">
        <f t="shared" si="42"/>
        <v>7.1140000000000009E-2</v>
      </c>
      <c r="K89" s="107">
        <f t="shared" si="42"/>
        <v>7.1140000000000009E-2</v>
      </c>
      <c r="L89" s="107">
        <f t="shared" si="42"/>
        <v>7.1140000000000009E-2</v>
      </c>
      <c r="M89" s="107">
        <f t="shared" si="42"/>
        <v>7.1140000000000009E-2</v>
      </c>
      <c r="N89" s="107"/>
      <c r="O89" s="75"/>
    </row>
    <row r="90" spans="1:15" s="88" customFormat="1" x14ac:dyDescent="0.2">
      <c r="A90" s="71" t="str">
        <f>IF(B90&lt;&gt;"",MAX(A$7:A89)+1,"")</f>
        <v/>
      </c>
      <c r="B90" s="105"/>
      <c r="C90" s="103"/>
      <c r="D90" s="104"/>
      <c r="E90" s="104"/>
      <c r="F90" s="104"/>
      <c r="G90" s="104"/>
      <c r="H90" s="104"/>
      <c r="I90" s="104"/>
      <c r="J90" s="104"/>
      <c r="K90" s="104"/>
      <c r="L90" s="104"/>
      <c r="M90" s="104"/>
      <c r="N90" s="104"/>
      <c r="O90" s="75"/>
    </row>
    <row r="91" spans="1:15" s="88" customFormat="1" x14ac:dyDescent="0.2">
      <c r="A91" s="71">
        <f>IF(B91&lt;&gt;"",MAX(A$7:A90)+1,"")</f>
        <v>63</v>
      </c>
      <c r="B91" s="105" t="s">
        <v>133</v>
      </c>
      <c r="C91" s="103"/>
      <c r="D91" s="104">
        <v>0</v>
      </c>
      <c r="E91" s="104">
        <f t="shared" si="40"/>
        <v>0</v>
      </c>
      <c r="F91" s="104">
        <f t="shared" si="40"/>
        <v>0</v>
      </c>
      <c r="G91" s="104">
        <f t="shared" si="40"/>
        <v>0</v>
      </c>
      <c r="H91" s="104">
        <f t="shared" si="40"/>
        <v>0</v>
      </c>
      <c r="I91" s="104">
        <f t="shared" si="40"/>
        <v>0</v>
      </c>
      <c r="J91" s="104">
        <f t="shared" si="40"/>
        <v>0</v>
      </c>
      <c r="K91" s="104">
        <f t="shared" si="40"/>
        <v>0</v>
      </c>
      <c r="L91" s="104">
        <f t="shared" si="40"/>
        <v>0</v>
      </c>
      <c r="M91" s="104">
        <f t="shared" si="40"/>
        <v>0</v>
      </c>
      <c r="N91" s="104"/>
      <c r="O91" s="75"/>
    </row>
    <row r="92" spans="1:15" s="88" customFormat="1" x14ac:dyDescent="0.2">
      <c r="A92" s="71">
        <f>IF(B92&lt;&gt;"",MAX(A$7:A91)+1,"")</f>
        <v>64</v>
      </c>
      <c r="B92" s="105" t="s">
        <v>134</v>
      </c>
      <c r="C92" s="103"/>
      <c r="D92" s="104">
        <v>3</v>
      </c>
      <c r="E92" s="104">
        <f t="shared" si="40"/>
        <v>3</v>
      </c>
      <c r="F92" s="104">
        <f t="shared" si="40"/>
        <v>3</v>
      </c>
      <c r="G92" s="104">
        <f t="shared" si="40"/>
        <v>3</v>
      </c>
      <c r="H92" s="104">
        <f t="shared" si="40"/>
        <v>3</v>
      </c>
      <c r="I92" s="104">
        <f t="shared" si="40"/>
        <v>3</v>
      </c>
      <c r="J92" s="104">
        <f t="shared" si="40"/>
        <v>3</v>
      </c>
      <c r="K92" s="104">
        <f t="shared" si="40"/>
        <v>3</v>
      </c>
      <c r="L92" s="104">
        <f t="shared" si="40"/>
        <v>3</v>
      </c>
      <c r="M92" s="104">
        <f t="shared" si="40"/>
        <v>3</v>
      </c>
      <c r="N92" s="104"/>
      <c r="O92" s="75"/>
    </row>
    <row r="93" spans="1:15" s="88" customFormat="1" x14ac:dyDescent="0.2">
      <c r="A93" s="71">
        <f>IF(B93&lt;&gt;"",MAX(A$7:A92)+1,"")</f>
        <v>65</v>
      </c>
      <c r="B93" s="105" t="s">
        <v>135</v>
      </c>
      <c r="C93" s="103"/>
      <c r="D93" s="107">
        <v>0</v>
      </c>
      <c r="E93" s="107">
        <f>D93</f>
        <v>0</v>
      </c>
      <c r="F93" s="107">
        <f t="shared" si="40"/>
        <v>0</v>
      </c>
      <c r="G93" s="107">
        <f t="shared" si="40"/>
        <v>0</v>
      </c>
      <c r="H93" s="107">
        <f t="shared" si="40"/>
        <v>0</v>
      </c>
      <c r="I93" s="107">
        <f t="shared" si="40"/>
        <v>0</v>
      </c>
      <c r="J93" s="107">
        <f t="shared" si="40"/>
        <v>0</v>
      </c>
      <c r="K93" s="107">
        <f t="shared" si="40"/>
        <v>0</v>
      </c>
      <c r="L93" s="107">
        <f t="shared" si="40"/>
        <v>0</v>
      </c>
      <c r="M93" s="107">
        <f t="shared" si="40"/>
        <v>0</v>
      </c>
      <c r="N93" s="107"/>
      <c r="O93" s="75"/>
    </row>
    <row r="94" spans="1:15" s="88" customFormat="1" x14ac:dyDescent="0.2">
      <c r="A94" s="71" t="str">
        <f>IF(B94&lt;&gt;"",MAX(A$7:A93)+1,"")</f>
        <v/>
      </c>
      <c r="B94" s="75"/>
      <c r="C94" s="75"/>
      <c r="D94" s="75"/>
      <c r="E94" s="75"/>
      <c r="F94" s="75"/>
      <c r="G94" s="75"/>
      <c r="H94" s="75"/>
      <c r="I94" s="75"/>
      <c r="J94" s="75"/>
      <c r="K94" s="75"/>
      <c r="L94" s="75"/>
      <c r="M94" s="75"/>
      <c r="O94" s="75"/>
    </row>
    <row r="95" spans="1:15" s="88" customFormat="1" x14ac:dyDescent="0.2">
      <c r="A95" s="71">
        <f>IF(B95&lt;&gt;"",MAX(A$7:A94)+1,"")</f>
        <v>66</v>
      </c>
      <c r="B95" s="72" t="s">
        <v>136</v>
      </c>
      <c r="C95" s="75"/>
      <c r="D95" s="75"/>
      <c r="E95" s="86"/>
      <c r="F95" s="74"/>
      <c r="G95" s="75"/>
      <c r="H95" s="75"/>
      <c r="I95" s="75"/>
      <c r="J95" s="75"/>
      <c r="K95" s="75"/>
      <c r="L95" s="75"/>
      <c r="M95" s="75"/>
      <c r="N95" s="75"/>
      <c r="O95" s="75"/>
    </row>
    <row r="96" spans="1:15" s="88" customFormat="1" x14ac:dyDescent="0.2">
      <c r="A96" s="71">
        <f>IF(B96&lt;&gt;"",MAX(A$7:A95)+1,"")</f>
        <v>67</v>
      </c>
      <c r="B96" s="105" t="s">
        <v>123</v>
      </c>
      <c r="C96" s="75"/>
      <c r="D96" s="108">
        <f t="shared" ref="D96:M96" si="43">-D10*D83*D107</f>
        <v>-10.66</v>
      </c>
      <c r="E96" s="108">
        <f t="shared" si="43"/>
        <v>-10.896888888888887</v>
      </c>
      <c r="F96" s="108">
        <f t="shared" si="43"/>
        <v>-11.738720482233383</v>
      </c>
      <c r="G96" s="108">
        <f t="shared" si="43"/>
        <v>-11.693293253966941</v>
      </c>
      <c r="H96" s="108">
        <f t="shared" si="43"/>
        <v>-11.267763341500048</v>
      </c>
      <c r="I96" s="108">
        <f t="shared" si="43"/>
        <v>-11.598018678297606</v>
      </c>
      <c r="J96" s="108">
        <f t="shared" si="43"/>
        <v>-11.551679865253965</v>
      </c>
      <c r="K96" s="108">
        <f t="shared" si="43"/>
        <v>-11.504749847728977</v>
      </c>
      <c r="L96" s="108">
        <f t="shared" si="43"/>
        <v>-11.208440916305561</v>
      </c>
      <c r="M96" s="108">
        <f t="shared" si="43"/>
        <v>-11.407661360501232</v>
      </c>
      <c r="N96" s="108"/>
      <c r="O96" s="75"/>
    </row>
    <row r="97" spans="1:15" s="88" customFormat="1" x14ac:dyDescent="0.2">
      <c r="A97" s="71">
        <f>IF(B97&lt;&gt;"",MAX(A$7:A96)+1,"")</f>
        <v>68</v>
      </c>
      <c r="B97" s="75" t="str">
        <f>B85</f>
        <v>Senior A2  Loan</v>
      </c>
      <c r="C97" s="75"/>
      <c r="D97" s="108">
        <f t="shared" ref="D97:M97" si="44">-(D10)*D89*D113</f>
        <v>-0.68299999999999994</v>
      </c>
      <c r="E97" s="108">
        <f t="shared" si="44"/>
        <v>-0.69817777777777768</v>
      </c>
      <c r="F97" s="108">
        <f t="shared" si="44"/>
        <v>-0.78123333333333322</v>
      </c>
      <c r="G97" s="108">
        <f t="shared" si="44"/>
        <v>-0.78123333333333322</v>
      </c>
      <c r="H97" s="108">
        <f t="shared" si="44"/>
        <v>-0.75575833333333342</v>
      </c>
      <c r="I97" s="108">
        <f t="shared" si="44"/>
        <v>-0.78123333333333322</v>
      </c>
      <c r="J97" s="108">
        <f t="shared" si="44"/>
        <v>-0.9090111111111111</v>
      </c>
      <c r="K97" s="108">
        <f t="shared" si="44"/>
        <v>-0.9090111111111111</v>
      </c>
      <c r="L97" s="108">
        <f t="shared" si="44"/>
        <v>-0.8892500000000001</v>
      </c>
      <c r="M97" s="108">
        <f t="shared" si="44"/>
        <v>-0.9090111111111111</v>
      </c>
      <c r="N97" s="108"/>
      <c r="O97" s="75"/>
    </row>
    <row r="98" spans="1:15" s="88" customFormat="1" x14ac:dyDescent="0.2">
      <c r="A98" s="71">
        <f>IF(B98&lt;&gt;"",MAX(A$7:A97)+1,"")</f>
        <v>69</v>
      </c>
      <c r="B98" s="75" t="str">
        <f>B91</f>
        <v>Subordinated Loan</v>
      </c>
      <c r="C98" s="75"/>
      <c r="D98" s="96">
        <v>0</v>
      </c>
      <c r="E98" s="108">
        <f t="shared" ref="E98:M98" si="45">-E9*E93*E119</f>
        <v>0</v>
      </c>
      <c r="F98" s="108">
        <f t="shared" si="45"/>
        <v>0</v>
      </c>
      <c r="G98" s="108">
        <f t="shared" si="45"/>
        <v>0</v>
      </c>
      <c r="H98" s="108">
        <f t="shared" si="45"/>
        <v>0</v>
      </c>
      <c r="I98" s="108">
        <f t="shared" si="45"/>
        <v>0</v>
      </c>
      <c r="J98" s="108">
        <f t="shared" si="45"/>
        <v>0</v>
      </c>
      <c r="K98" s="108">
        <f t="shared" si="45"/>
        <v>0</v>
      </c>
      <c r="L98" s="108">
        <f t="shared" si="45"/>
        <v>0</v>
      </c>
      <c r="M98" s="108">
        <f t="shared" si="45"/>
        <v>0</v>
      </c>
      <c r="N98" s="108"/>
      <c r="O98" s="75"/>
    </row>
    <row r="99" spans="1:15" s="88" customFormat="1" x14ac:dyDescent="0.2">
      <c r="A99" s="71">
        <f>IF(B99&lt;&gt;"",MAX(A$7:A98)+1,"")</f>
        <v>70</v>
      </c>
      <c r="B99" s="75" t="s">
        <v>137</v>
      </c>
      <c r="C99" s="75"/>
      <c r="D99" s="109">
        <f>SUM(D96:D98)</f>
        <v>-11.343</v>
      </c>
      <c r="E99" s="109">
        <f>SUM(E96:E98)</f>
        <v>-11.595066666666664</v>
      </c>
      <c r="F99" s="109">
        <f t="shared" ref="F99:M99" si="46">SUM(F96:F98)</f>
        <v>-12.519953815566716</v>
      </c>
      <c r="G99" s="109">
        <f t="shared" si="46"/>
        <v>-12.474526587300273</v>
      </c>
      <c r="H99" s="109">
        <f t="shared" si="46"/>
        <v>-12.023521674833381</v>
      </c>
      <c r="I99" s="109">
        <f t="shared" si="46"/>
        <v>-12.379252011630939</v>
      </c>
      <c r="J99" s="109">
        <f t="shared" si="46"/>
        <v>-12.460690976365075</v>
      </c>
      <c r="K99" s="109">
        <f t="shared" si="46"/>
        <v>-12.413760958840088</v>
      </c>
      <c r="L99" s="109">
        <f t="shared" si="46"/>
        <v>-12.097690916305561</v>
      </c>
      <c r="M99" s="109">
        <f t="shared" si="46"/>
        <v>-12.316672471612343</v>
      </c>
      <c r="N99" s="109"/>
      <c r="O99" s="75"/>
    </row>
    <row r="100" spans="1:15" s="88" customFormat="1" x14ac:dyDescent="0.2">
      <c r="A100" s="71" t="str">
        <f>IF(B100&lt;&gt;"",MAX(A$7:A99)+1,"")</f>
        <v/>
      </c>
      <c r="B100" s="75"/>
      <c r="C100" s="75"/>
      <c r="D100" s="96"/>
      <c r="E100" s="108"/>
      <c r="F100" s="110"/>
      <c r="G100" s="96"/>
      <c r="H100" s="96"/>
      <c r="I100" s="96"/>
      <c r="J100" s="96"/>
      <c r="K100" s="96"/>
      <c r="L100" s="96"/>
      <c r="M100" s="96"/>
      <c r="N100" s="96"/>
      <c r="O100" s="75"/>
    </row>
    <row r="101" spans="1:15" s="88" customFormat="1" x14ac:dyDescent="0.2">
      <c r="A101" s="71">
        <f>IF(B101&lt;&gt;"",MAX(A$7:A100)+1,"")</f>
        <v>71</v>
      </c>
      <c r="B101" s="75" t="s">
        <v>138</v>
      </c>
      <c r="C101" s="75"/>
      <c r="D101" s="96">
        <f>C104</f>
        <v>0</v>
      </c>
      <c r="E101" s="96">
        <f t="shared" ref="E101:M101" si="47">D104</f>
        <v>0</v>
      </c>
      <c r="F101" s="96">
        <f t="shared" si="47"/>
        <v>0</v>
      </c>
      <c r="G101" s="96">
        <f t="shared" si="47"/>
        <v>0</v>
      </c>
      <c r="H101" s="96">
        <f t="shared" si="47"/>
        <v>0</v>
      </c>
      <c r="I101" s="96">
        <f t="shared" si="47"/>
        <v>0</v>
      </c>
      <c r="J101" s="96">
        <f t="shared" si="47"/>
        <v>0</v>
      </c>
      <c r="K101" s="96">
        <f t="shared" si="47"/>
        <v>0</v>
      </c>
      <c r="L101" s="96">
        <f t="shared" si="47"/>
        <v>0</v>
      </c>
      <c r="M101" s="96">
        <f t="shared" si="47"/>
        <v>0</v>
      </c>
      <c r="N101" s="96"/>
      <c r="O101" s="75"/>
    </row>
    <row r="102" spans="1:15" s="88" customFormat="1" x14ac:dyDescent="0.2">
      <c r="A102" s="71">
        <f>IF(B102&lt;&gt;"",MAX(A$7:A101)+1,"")</f>
        <v>72</v>
      </c>
      <c r="B102" s="75" t="s">
        <v>139</v>
      </c>
      <c r="C102" s="73"/>
      <c r="D102" s="96">
        <v>0</v>
      </c>
      <c r="E102" s="96">
        <f>E74-E97</f>
        <v>4.4619933651791683</v>
      </c>
      <c r="F102" s="96">
        <f t="shared" ref="F102:M102" si="48">F74-F97</f>
        <v>3.8525946966508191</v>
      </c>
      <c r="G102" s="96">
        <f t="shared" si="48"/>
        <v>3.8772260700456673</v>
      </c>
      <c r="H102" s="96">
        <f t="shared" si="48"/>
        <v>4.2028250128965823</v>
      </c>
      <c r="I102" s="96">
        <f t="shared" si="48"/>
        <v>3.9299044250276931</v>
      </c>
      <c r="J102" s="96">
        <f t="shared" si="48"/>
        <v>3.9800433248986296</v>
      </c>
      <c r="K102" s="96">
        <f t="shared" si="48"/>
        <v>4.0056934429208528</v>
      </c>
      <c r="L102" s="96">
        <f t="shared" si="48"/>
        <v>4.2281919441781408</v>
      </c>
      <c r="M102" s="96">
        <f t="shared" si="48"/>
        <v>4.0594477138524896</v>
      </c>
      <c r="N102" s="96"/>
      <c r="O102" s="75"/>
    </row>
    <row r="103" spans="1:15" s="88" customFormat="1" x14ac:dyDescent="0.2">
      <c r="A103" s="71">
        <f>IF(B103&lt;&gt;"",MAX(A$7:A102)+1,"")</f>
        <v>73</v>
      </c>
      <c r="B103" s="75" t="s">
        <v>140</v>
      </c>
      <c r="C103" s="73"/>
      <c r="D103" s="96">
        <f>-D101-D102</f>
        <v>0</v>
      </c>
      <c r="E103" s="96">
        <f t="shared" ref="E103:M103" si="49">-E101-E102</f>
        <v>-4.4619933651791683</v>
      </c>
      <c r="F103" s="96">
        <f t="shared" si="49"/>
        <v>-3.8525946966508191</v>
      </c>
      <c r="G103" s="96">
        <f t="shared" si="49"/>
        <v>-3.8772260700456673</v>
      </c>
      <c r="H103" s="96">
        <f t="shared" si="49"/>
        <v>-4.2028250128965823</v>
      </c>
      <c r="I103" s="96">
        <f t="shared" si="49"/>
        <v>-3.9299044250276931</v>
      </c>
      <c r="J103" s="96">
        <f t="shared" si="49"/>
        <v>-3.9800433248986296</v>
      </c>
      <c r="K103" s="96">
        <f t="shared" si="49"/>
        <v>-4.0056934429208528</v>
      </c>
      <c r="L103" s="96">
        <f t="shared" si="49"/>
        <v>-4.2281919441781408</v>
      </c>
      <c r="M103" s="96">
        <f t="shared" si="49"/>
        <v>-4.0594477138524896</v>
      </c>
      <c r="N103" s="96"/>
      <c r="O103" s="75"/>
    </row>
    <row r="104" spans="1:15" s="88" customFormat="1" x14ac:dyDescent="0.2">
      <c r="A104" s="71">
        <f>IF(B104&lt;&gt;"",MAX(A$7:A103)+1,"")</f>
        <v>74</v>
      </c>
      <c r="B104" s="72" t="s">
        <v>141</v>
      </c>
      <c r="C104" s="73"/>
      <c r="D104" s="109">
        <f>D101+D102+D103</f>
        <v>0</v>
      </c>
      <c r="E104" s="109">
        <f t="shared" ref="E104:M104" si="50">E101+E102+E103</f>
        <v>0</v>
      </c>
      <c r="F104" s="109">
        <f t="shared" si="50"/>
        <v>0</v>
      </c>
      <c r="G104" s="109">
        <f t="shared" si="50"/>
        <v>0</v>
      </c>
      <c r="H104" s="109">
        <f t="shared" si="50"/>
        <v>0</v>
      </c>
      <c r="I104" s="109">
        <f t="shared" si="50"/>
        <v>0</v>
      </c>
      <c r="J104" s="109">
        <f t="shared" si="50"/>
        <v>0</v>
      </c>
      <c r="K104" s="109">
        <f t="shared" si="50"/>
        <v>0</v>
      </c>
      <c r="L104" s="109">
        <f t="shared" si="50"/>
        <v>0</v>
      </c>
      <c r="M104" s="109">
        <f t="shared" si="50"/>
        <v>0</v>
      </c>
      <c r="N104" s="109"/>
      <c r="O104" s="75"/>
    </row>
    <row r="105" spans="1:15" s="88" customFormat="1" x14ac:dyDescent="0.2">
      <c r="A105" s="71" t="str">
        <f>IF(B105&lt;&gt;"",MAX(A$7:A104)+1,"")</f>
        <v/>
      </c>
      <c r="B105" s="75"/>
      <c r="C105" s="73"/>
      <c r="D105" s="96"/>
      <c r="E105" s="108"/>
      <c r="F105" s="108"/>
      <c r="G105" s="108"/>
      <c r="H105" s="108"/>
      <c r="I105" s="108"/>
      <c r="J105" s="108"/>
      <c r="K105" s="108"/>
      <c r="L105" s="108"/>
      <c r="M105" s="108"/>
      <c r="N105" s="108"/>
      <c r="O105" s="75"/>
    </row>
    <row r="106" spans="1:15" s="88" customFormat="1" x14ac:dyDescent="0.2">
      <c r="A106" s="71">
        <f>IF(B106&lt;&gt;"",MAX(A$7:A105)+1,"")</f>
        <v>75</v>
      </c>
      <c r="B106" s="102" t="str">
        <f>B96</f>
        <v>Senior A1  Loan</v>
      </c>
      <c r="C106" s="73"/>
      <c r="D106" s="96"/>
      <c r="E106" s="108"/>
      <c r="F106" s="110"/>
      <c r="G106" s="96"/>
      <c r="H106" s="96"/>
      <c r="I106" s="96"/>
      <c r="J106" s="96"/>
      <c r="K106" s="96"/>
      <c r="L106" s="96"/>
      <c r="M106" s="96"/>
      <c r="N106" s="96"/>
      <c r="O106" s="75"/>
    </row>
    <row r="107" spans="1:15" s="88" customFormat="1" x14ac:dyDescent="0.2">
      <c r="A107" s="71">
        <f>IF(B107&lt;&gt;"",MAX(A$7:A106)+1,"")</f>
        <v>76</v>
      </c>
      <c r="B107" s="75" t="s">
        <v>100</v>
      </c>
      <c r="C107" s="73"/>
      <c r="D107" s="96">
        <f>D79</f>
        <v>1000</v>
      </c>
      <c r="E107" s="108">
        <f>D110</f>
        <v>1000</v>
      </c>
      <c r="F107" s="108">
        <f t="shared" ref="F107:M107" si="51">E110</f>
        <v>995.53800663482082</v>
      </c>
      <c r="G107" s="108">
        <f t="shared" si="51"/>
        <v>991.68541193816998</v>
      </c>
      <c r="H107" s="108">
        <f t="shared" si="51"/>
        <v>987.80818586812427</v>
      </c>
      <c r="I107" s="108">
        <f t="shared" si="51"/>
        <v>983.60536085522767</v>
      </c>
      <c r="J107" s="108">
        <f t="shared" si="51"/>
        <v>979.67545643020003</v>
      </c>
      <c r="K107" s="108">
        <f t="shared" si="51"/>
        <v>975.69541310530144</v>
      </c>
      <c r="L107" s="108">
        <f t="shared" si="51"/>
        <v>971.68971966238064</v>
      </c>
      <c r="M107" s="108">
        <f t="shared" si="51"/>
        <v>967.46152771820255</v>
      </c>
      <c r="N107" s="108"/>
      <c r="O107" s="75"/>
    </row>
    <row r="108" spans="1:15" s="88" customFormat="1" x14ac:dyDescent="0.2">
      <c r="A108" s="71">
        <f>IF(B108&lt;&gt;"",MAX(A$7:A107)+1,"")</f>
        <v>77</v>
      </c>
      <c r="B108" s="75" t="s">
        <v>142</v>
      </c>
      <c r="C108" s="73"/>
      <c r="D108" s="96">
        <v>0</v>
      </c>
      <c r="E108" s="108">
        <f t="shared" ref="E108:M108" si="52">MIN(E79-D110,MAX(0,-(E104-D104)-E$120-E$114))</f>
        <v>0</v>
      </c>
      <c r="F108" s="108">
        <f t="shared" si="52"/>
        <v>0</v>
      </c>
      <c r="G108" s="108">
        <f t="shared" si="52"/>
        <v>0</v>
      </c>
      <c r="H108" s="108">
        <f t="shared" si="52"/>
        <v>0</v>
      </c>
      <c r="I108" s="108">
        <f t="shared" si="52"/>
        <v>0</v>
      </c>
      <c r="J108" s="108">
        <f t="shared" si="52"/>
        <v>0</v>
      </c>
      <c r="K108" s="108">
        <f t="shared" si="52"/>
        <v>0</v>
      </c>
      <c r="L108" s="108">
        <f t="shared" si="52"/>
        <v>0</v>
      </c>
      <c r="M108" s="108">
        <f t="shared" si="52"/>
        <v>0</v>
      </c>
      <c r="N108" s="108"/>
      <c r="O108" s="75"/>
    </row>
    <row r="109" spans="1:15" s="88" customFormat="1" x14ac:dyDescent="0.2">
      <c r="A109" s="71">
        <f>IF(B109&lt;&gt;"",MAX(A$7:A108)+1,"")</f>
        <v>78</v>
      </c>
      <c r="B109" s="75" t="s">
        <v>143</v>
      </c>
      <c r="C109" s="73"/>
      <c r="D109" s="96">
        <v>0</v>
      </c>
      <c r="E109" s="108">
        <f t="shared" ref="E109:M109" si="53">-MAX(MIN((-E$103+E$62),E107+E108),0)</f>
        <v>-4.4619933651791683</v>
      </c>
      <c r="F109" s="108">
        <f t="shared" si="53"/>
        <v>-3.8525946966508191</v>
      </c>
      <c r="G109" s="108">
        <f t="shared" si="53"/>
        <v>-3.8772260700456673</v>
      </c>
      <c r="H109" s="108">
        <f t="shared" si="53"/>
        <v>-4.2028250128965823</v>
      </c>
      <c r="I109" s="108">
        <f t="shared" si="53"/>
        <v>-3.9299044250276931</v>
      </c>
      <c r="J109" s="108">
        <f t="shared" si="53"/>
        <v>-3.9800433248986296</v>
      </c>
      <c r="K109" s="108">
        <f t="shared" si="53"/>
        <v>-4.0056934429208528</v>
      </c>
      <c r="L109" s="108">
        <f t="shared" si="53"/>
        <v>-4.2281919441781408</v>
      </c>
      <c r="M109" s="108">
        <f t="shared" si="53"/>
        <v>-4.0594477138524896</v>
      </c>
      <c r="N109" s="108"/>
      <c r="O109" s="75"/>
    </row>
    <row r="110" spans="1:15" s="88" customFormat="1" x14ac:dyDescent="0.2">
      <c r="A110" s="71">
        <f>IF(B110&lt;&gt;"",MAX(A$7:A109)+1,"")</f>
        <v>79</v>
      </c>
      <c r="B110" s="75" t="s">
        <v>103</v>
      </c>
      <c r="C110" s="73"/>
      <c r="D110" s="109">
        <f>SUM(D107:D109)</f>
        <v>1000</v>
      </c>
      <c r="E110" s="109">
        <f t="shared" ref="E110:M110" si="54">SUM(E107:E109)</f>
        <v>995.53800663482082</v>
      </c>
      <c r="F110" s="109">
        <f t="shared" si="54"/>
        <v>991.68541193816998</v>
      </c>
      <c r="G110" s="109">
        <f t="shared" si="54"/>
        <v>987.80818586812427</v>
      </c>
      <c r="H110" s="109">
        <f t="shared" si="54"/>
        <v>983.60536085522767</v>
      </c>
      <c r="I110" s="109">
        <f t="shared" si="54"/>
        <v>979.67545643020003</v>
      </c>
      <c r="J110" s="109">
        <f t="shared" si="54"/>
        <v>975.69541310530144</v>
      </c>
      <c r="K110" s="109">
        <f t="shared" si="54"/>
        <v>971.68971966238064</v>
      </c>
      <c r="L110" s="109">
        <f t="shared" si="54"/>
        <v>967.46152771820255</v>
      </c>
      <c r="M110" s="109">
        <f t="shared" si="54"/>
        <v>963.40208000435007</v>
      </c>
      <c r="N110" s="109"/>
      <c r="O110" s="75"/>
    </row>
    <row r="111" spans="1:15" s="88" customFormat="1" x14ac:dyDescent="0.2">
      <c r="A111" s="71" t="str">
        <f>IF(B111&lt;&gt;"",MAX(A$7:A110)+1,"")</f>
        <v/>
      </c>
      <c r="B111" s="75"/>
      <c r="C111" s="73"/>
      <c r="D111" s="96"/>
      <c r="E111" s="108"/>
      <c r="F111" s="110"/>
      <c r="G111" s="96"/>
      <c r="H111" s="96"/>
      <c r="I111" s="96"/>
      <c r="J111" s="96"/>
      <c r="K111" s="96"/>
      <c r="L111" s="96"/>
      <c r="M111" s="96"/>
      <c r="N111" s="96"/>
      <c r="O111" s="75"/>
    </row>
    <row r="112" spans="1:15" s="88" customFormat="1" x14ac:dyDescent="0.2">
      <c r="A112" s="71">
        <f>IF(B112&lt;&gt;"",MAX(A$7:A111)+1,"")</f>
        <v>80</v>
      </c>
      <c r="B112" s="72" t="str">
        <f>B97</f>
        <v>Senior A2  Loan</v>
      </c>
      <c r="C112" s="73"/>
      <c r="D112" s="96"/>
      <c r="E112" s="108"/>
      <c r="F112" s="110"/>
      <c r="G112" s="96"/>
      <c r="H112" s="96"/>
      <c r="I112" s="96"/>
      <c r="J112" s="96"/>
      <c r="K112" s="96"/>
      <c r="L112" s="96"/>
      <c r="M112" s="96"/>
      <c r="N112" s="96"/>
      <c r="O112" s="75"/>
    </row>
    <row r="113" spans="1:15" s="88" customFormat="1" x14ac:dyDescent="0.2">
      <c r="A113" s="71">
        <f>IF(B113&lt;&gt;"",MAX(A$7:A112)+1,"")</f>
        <v>81</v>
      </c>
      <c r="B113" s="75" t="s">
        <v>100</v>
      </c>
      <c r="C113" s="73"/>
      <c r="D113" s="96">
        <f>D85</f>
        <v>50</v>
      </c>
      <c r="E113" s="108">
        <f>D116</f>
        <v>50</v>
      </c>
      <c r="F113" s="108">
        <f t="shared" ref="F113:M113" si="55">E116</f>
        <v>50</v>
      </c>
      <c r="G113" s="108">
        <f t="shared" si="55"/>
        <v>50</v>
      </c>
      <c r="H113" s="108">
        <f t="shared" si="55"/>
        <v>50</v>
      </c>
      <c r="I113" s="108">
        <f t="shared" si="55"/>
        <v>50</v>
      </c>
      <c r="J113" s="108">
        <f t="shared" si="55"/>
        <v>50</v>
      </c>
      <c r="K113" s="108">
        <f t="shared" si="55"/>
        <v>50</v>
      </c>
      <c r="L113" s="108">
        <f t="shared" si="55"/>
        <v>50</v>
      </c>
      <c r="M113" s="108">
        <f t="shared" si="55"/>
        <v>50</v>
      </c>
      <c r="N113" s="108"/>
      <c r="O113" s="75"/>
    </row>
    <row r="114" spans="1:15" s="88" customFormat="1" x14ac:dyDescent="0.2">
      <c r="A114" s="71">
        <f>IF(B114&lt;&gt;"",MAX(A$7:A113)+1,"")</f>
        <v>82</v>
      </c>
      <c r="B114" s="75" t="s">
        <v>142</v>
      </c>
      <c r="C114" s="73"/>
      <c r="D114" s="96">
        <v>0</v>
      </c>
      <c r="E114" s="108">
        <f t="shared" ref="E114:M114" si="56">MIN(E85-D116,MAX(0,-(E104-D104)-E$120))</f>
        <v>0</v>
      </c>
      <c r="F114" s="108">
        <f t="shared" si="56"/>
        <v>0</v>
      </c>
      <c r="G114" s="108">
        <f t="shared" si="56"/>
        <v>0</v>
      </c>
      <c r="H114" s="108">
        <f t="shared" si="56"/>
        <v>0</v>
      </c>
      <c r="I114" s="108">
        <f t="shared" si="56"/>
        <v>0</v>
      </c>
      <c r="J114" s="108">
        <f t="shared" si="56"/>
        <v>0</v>
      </c>
      <c r="K114" s="108">
        <f t="shared" si="56"/>
        <v>0</v>
      </c>
      <c r="L114" s="108">
        <f t="shared" si="56"/>
        <v>0</v>
      </c>
      <c r="M114" s="108">
        <f t="shared" si="56"/>
        <v>0</v>
      </c>
      <c r="N114" s="108"/>
      <c r="O114" s="75"/>
    </row>
    <row r="115" spans="1:15" s="88" customFormat="1" x14ac:dyDescent="0.2">
      <c r="A115" s="71">
        <f>IF(B115&lt;&gt;"",MAX(A$7:A114)+1,"")</f>
        <v>83</v>
      </c>
      <c r="B115" s="75" t="s">
        <v>143</v>
      </c>
      <c r="C115" s="73"/>
      <c r="D115" s="96"/>
      <c r="E115" s="108">
        <f t="shared" ref="E115:M115" si="57">-MAX(MIN((-E$103+E$62+E$109),E113+E114),0)</f>
        <v>0</v>
      </c>
      <c r="F115" s="108">
        <f t="shared" si="57"/>
        <v>0</v>
      </c>
      <c r="G115" s="108">
        <f t="shared" si="57"/>
        <v>0</v>
      </c>
      <c r="H115" s="108">
        <f t="shared" si="57"/>
        <v>0</v>
      </c>
      <c r="I115" s="108">
        <f t="shared" si="57"/>
        <v>0</v>
      </c>
      <c r="J115" s="108">
        <f t="shared" si="57"/>
        <v>0</v>
      </c>
      <c r="K115" s="108">
        <f t="shared" si="57"/>
        <v>0</v>
      </c>
      <c r="L115" s="108">
        <f t="shared" si="57"/>
        <v>0</v>
      </c>
      <c r="M115" s="108">
        <f t="shared" si="57"/>
        <v>0</v>
      </c>
      <c r="N115" s="108"/>
      <c r="O115" s="75"/>
    </row>
    <row r="116" spans="1:15" s="88" customFormat="1" x14ac:dyDescent="0.2">
      <c r="A116" s="71">
        <f>IF(B116&lt;&gt;"",MAX(A$7:A115)+1,"")</f>
        <v>84</v>
      </c>
      <c r="B116" s="75" t="s">
        <v>103</v>
      </c>
      <c r="C116" s="73"/>
      <c r="D116" s="109">
        <f>SUM(D113:D115)</f>
        <v>50</v>
      </c>
      <c r="E116" s="109">
        <f t="shared" ref="E116:M116" si="58">SUM(E113:E115)</f>
        <v>50</v>
      </c>
      <c r="F116" s="109">
        <f t="shared" si="58"/>
        <v>50</v>
      </c>
      <c r="G116" s="109">
        <f t="shared" si="58"/>
        <v>50</v>
      </c>
      <c r="H116" s="109">
        <f t="shared" si="58"/>
        <v>50</v>
      </c>
      <c r="I116" s="109">
        <f t="shared" si="58"/>
        <v>50</v>
      </c>
      <c r="J116" s="109">
        <f t="shared" si="58"/>
        <v>50</v>
      </c>
      <c r="K116" s="109">
        <f t="shared" si="58"/>
        <v>50</v>
      </c>
      <c r="L116" s="109">
        <f t="shared" si="58"/>
        <v>50</v>
      </c>
      <c r="M116" s="109">
        <f t="shared" si="58"/>
        <v>50</v>
      </c>
      <c r="N116" s="109"/>
      <c r="O116" s="75"/>
    </row>
    <row r="117" spans="1:15" s="88" customFormat="1" x14ac:dyDescent="0.2">
      <c r="A117" s="71" t="str">
        <f>IF(B117&lt;&gt;"",MAX(A$7:A116)+1,"")</f>
        <v/>
      </c>
      <c r="B117" s="75"/>
      <c r="C117" s="73"/>
      <c r="D117" s="96"/>
      <c r="E117" s="108"/>
      <c r="F117" s="110"/>
      <c r="G117" s="96"/>
      <c r="H117" s="96"/>
      <c r="I117" s="96"/>
      <c r="J117" s="96"/>
      <c r="K117" s="96"/>
      <c r="L117" s="96"/>
      <c r="M117" s="96"/>
      <c r="N117" s="96"/>
      <c r="O117" s="75"/>
    </row>
    <row r="118" spans="1:15" s="88" customFormat="1" x14ac:dyDescent="0.2">
      <c r="A118" s="71">
        <f>IF(B118&lt;&gt;"",MAX(A$7:A117)+1,"")</f>
        <v>85</v>
      </c>
      <c r="B118" s="102" t="str">
        <f>B98</f>
        <v>Subordinated Loan</v>
      </c>
      <c r="C118" s="73"/>
      <c r="D118" s="96"/>
      <c r="E118" s="108"/>
      <c r="F118" s="110"/>
      <c r="G118" s="96"/>
      <c r="H118" s="96"/>
      <c r="I118" s="96"/>
      <c r="J118" s="96"/>
      <c r="K118" s="96"/>
      <c r="L118" s="96"/>
      <c r="M118" s="96"/>
      <c r="N118" s="96"/>
      <c r="O118" s="75"/>
    </row>
    <row r="119" spans="1:15" s="88" customFormat="1" x14ac:dyDescent="0.2">
      <c r="A119" s="71">
        <f>IF(B119&lt;&gt;"",MAX(A$7:A118)+1,"")</f>
        <v>86</v>
      </c>
      <c r="B119" s="75" t="s">
        <v>100</v>
      </c>
      <c r="C119" s="73"/>
      <c r="D119" s="96">
        <f>D91</f>
        <v>0</v>
      </c>
      <c r="E119" s="108">
        <f>D122</f>
        <v>0</v>
      </c>
      <c r="F119" s="108">
        <f t="shared" ref="F119:M119" si="59">E122</f>
        <v>0</v>
      </c>
      <c r="G119" s="108">
        <f t="shared" si="59"/>
        <v>0</v>
      </c>
      <c r="H119" s="108">
        <f t="shared" si="59"/>
        <v>0</v>
      </c>
      <c r="I119" s="108">
        <f t="shared" si="59"/>
        <v>0</v>
      </c>
      <c r="J119" s="108">
        <f t="shared" si="59"/>
        <v>0</v>
      </c>
      <c r="K119" s="108">
        <f t="shared" si="59"/>
        <v>0</v>
      </c>
      <c r="L119" s="108">
        <f t="shared" si="59"/>
        <v>0</v>
      </c>
      <c r="M119" s="108">
        <f t="shared" si="59"/>
        <v>0</v>
      </c>
      <c r="N119" s="108"/>
      <c r="O119" s="75"/>
    </row>
    <row r="120" spans="1:15" s="88" customFormat="1" x14ac:dyDescent="0.2">
      <c r="A120" s="71">
        <f>IF(B120&lt;&gt;"",MAX(A$7:A119)+1,"")</f>
        <v>87</v>
      </c>
      <c r="B120" s="75" t="s">
        <v>142</v>
      </c>
      <c r="C120" s="73"/>
      <c r="D120" s="96">
        <v>0</v>
      </c>
      <c r="E120" s="108">
        <f t="shared" ref="E120:M120" si="60">MIN(E91-D122,MAX(0,-(E104-D104)))</f>
        <v>0</v>
      </c>
      <c r="F120" s="108">
        <f t="shared" si="60"/>
        <v>0</v>
      </c>
      <c r="G120" s="108">
        <f t="shared" si="60"/>
        <v>0</v>
      </c>
      <c r="H120" s="108">
        <f t="shared" si="60"/>
        <v>0</v>
      </c>
      <c r="I120" s="108">
        <f t="shared" si="60"/>
        <v>0</v>
      </c>
      <c r="J120" s="108">
        <f t="shared" si="60"/>
        <v>0</v>
      </c>
      <c r="K120" s="108">
        <f t="shared" si="60"/>
        <v>0</v>
      </c>
      <c r="L120" s="108">
        <f t="shared" si="60"/>
        <v>0</v>
      </c>
      <c r="M120" s="108">
        <f t="shared" si="60"/>
        <v>0</v>
      </c>
      <c r="N120" s="108"/>
      <c r="O120" s="75"/>
    </row>
    <row r="121" spans="1:15" s="88" customFormat="1" x14ac:dyDescent="0.2">
      <c r="A121" s="71">
        <f>IF(B121&lt;&gt;"",MAX(A$7:A120)+1,"")</f>
        <v>88</v>
      </c>
      <c r="B121" s="75" t="s">
        <v>143</v>
      </c>
      <c r="C121" s="73"/>
      <c r="D121" s="108">
        <f>-MAX(MIN((D$104-C$104+D$109+D$115),D119),0)</f>
        <v>0</v>
      </c>
      <c r="E121" s="108">
        <f t="shared" ref="E121:M121" si="61">-MAX(MIN((-E$103+E$62+E$109+E$115),E119+E120),0)</f>
        <v>0</v>
      </c>
      <c r="F121" s="108">
        <f t="shared" si="61"/>
        <v>0</v>
      </c>
      <c r="G121" s="108">
        <f t="shared" si="61"/>
        <v>0</v>
      </c>
      <c r="H121" s="108">
        <f t="shared" si="61"/>
        <v>0</v>
      </c>
      <c r="I121" s="108">
        <f t="shared" si="61"/>
        <v>0</v>
      </c>
      <c r="J121" s="108">
        <f t="shared" si="61"/>
        <v>0</v>
      </c>
      <c r="K121" s="108">
        <f t="shared" si="61"/>
        <v>0</v>
      </c>
      <c r="L121" s="108">
        <f t="shared" si="61"/>
        <v>0</v>
      </c>
      <c r="M121" s="108">
        <f t="shared" si="61"/>
        <v>0</v>
      </c>
      <c r="N121" s="108"/>
      <c r="O121" s="75"/>
    </row>
    <row r="122" spans="1:15" s="88" customFormat="1" x14ac:dyDescent="0.2">
      <c r="A122" s="71">
        <f>IF(B122&lt;&gt;"",MAX(A$7:A121)+1,"")</f>
        <v>89</v>
      </c>
      <c r="B122" s="75" t="s">
        <v>103</v>
      </c>
      <c r="C122" s="73"/>
      <c r="D122" s="109">
        <f>SUM(D119:D121)</f>
        <v>0</v>
      </c>
      <c r="E122" s="109">
        <f t="shared" ref="E122:M122" si="62">SUM(E119:E121)</f>
        <v>0</v>
      </c>
      <c r="F122" s="109">
        <f t="shared" si="62"/>
        <v>0</v>
      </c>
      <c r="G122" s="109">
        <f t="shared" si="62"/>
        <v>0</v>
      </c>
      <c r="H122" s="109">
        <f t="shared" si="62"/>
        <v>0</v>
      </c>
      <c r="I122" s="109">
        <f t="shared" si="62"/>
        <v>0</v>
      </c>
      <c r="J122" s="109">
        <f t="shared" si="62"/>
        <v>0</v>
      </c>
      <c r="K122" s="109">
        <f t="shared" si="62"/>
        <v>0</v>
      </c>
      <c r="L122" s="109">
        <f t="shared" si="62"/>
        <v>0</v>
      </c>
      <c r="M122" s="109">
        <f t="shared" si="62"/>
        <v>0</v>
      </c>
      <c r="N122" s="109"/>
      <c r="O122" s="75"/>
    </row>
    <row r="123" spans="1:15" s="88" customFormat="1" x14ac:dyDescent="0.2">
      <c r="A123" s="71" t="str">
        <f>IF(B123&lt;&gt;"",MAX(A$7:A122)+1,"")</f>
        <v/>
      </c>
      <c r="B123" s="75"/>
      <c r="C123" s="73"/>
      <c r="D123" s="96"/>
      <c r="E123" s="108"/>
      <c r="F123" s="110"/>
      <c r="G123" s="96"/>
      <c r="H123" s="96"/>
      <c r="I123" s="96"/>
      <c r="J123" s="96"/>
      <c r="K123" s="96"/>
      <c r="L123" s="96"/>
      <c r="M123" s="96"/>
      <c r="N123" s="96"/>
      <c r="O123" s="75"/>
    </row>
    <row r="124" spans="1:15" s="88" customFormat="1" x14ac:dyDescent="0.2">
      <c r="A124" s="71">
        <f>IF(B124&lt;&gt;"",MAX(A$7:A123)+1,"")</f>
        <v>90</v>
      </c>
      <c r="B124" s="72" t="s">
        <v>144</v>
      </c>
      <c r="C124" s="73"/>
      <c r="D124" s="96"/>
      <c r="E124" s="108"/>
      <c r="F124" s="110"/>
      <c r="G124" s="96"/>
      <c r="H124" s="96"/>
      <c r="I124" s="96"/>
      <c r="J124" s="96"/>
      <c r="K124" s="96"/>
      <c r="L124" s="96"/>
      <c r="M124" s="96"/>
      <c r="N124" s="96"/>
      <c r="O124" s="75"/>
    </row>
    <row r="125" spans="1:15" s="88" customFormat="1" x14ac:dyDescent="0.2">
      <c r="A125" s="71">
        <f>IF(B125&lt;&gt;"",MAX(A$7:A124)+1,"")</f>
        <v>91</v>
      </c>
      <c r="B125" s="75" t="s">
        <v>145</v>
      </c>
      <c r="C125" s="73"/>
      <c r="D125" s="96">
        <f>D107+D113+D119</f>
        <v>1050</v>
      </c>
      <c r="E125" s="108">
        <f>D128</f>
        <v>1050</v>
      </c>
      <c r="F125" s="108">
        <f t="shared" ref="F125:M125" si="63">E128</f>
        <v>1045.5380066348209</v>
      </c>
      <c r="G125" s="108">
        <f t="shared" si="63"/>
        <v>1041.6854119381701</v>
      </c>
      <c r="H125" s="108">
        <f t="shared" si="63"/>
        <v>1037.8081858681244</v>
      </c>
      <c r="I125" s="108">
        <f t="shared" si="63"/>
        <v>1033.6053608552279</v>
      </c>
      <c r="J125" s="108">
        <f t="shared" si="63"/>
        <v>1029.6754564302003</v>
      </c>
      <c r="K125" s="108">
        <f t="shared" si="63"/>
        <v>1025.6954131053017</v>
      </c>
      <c r="L125" s="108">
        <f t="shared" si="63"/>
        <v>1021.6897196623809</v>
      </c>
      <c r="M125" s="108">
        <f t="shared" si="63"/>
        <v>1017.4615277182028</v>
      </c>
      <c r="N125" s="108"/>
      <c r="O125" s="75"/>
    </row>
    <row r="126" spans="1:15" s="88" customFormat="1" x14ac:dyDescent="0.2">
      <c r="A126" s="71">
        <f>IF(B126&lt;&gt;"",MAX(A$7:A125)+1,"")</f>
        <v>92</v>
      </c>
      <c r="B126" s="75" t="s">
        <v>146</v>
      </c>
      <c r="C126" s="73"/>
      <c r="D126" s="96">
        <v>0</v>
      </c>
      <c r="E126" s="108">
        <f>E108+E114+E120</f>
        <v>0</v>
      </c>
      <c r="F126" s="108">
        <f t="shared" ref="F126:M127" si="64">F108+F114+F120</f>
        <v>0</v>
      </c>
      <c r="G126" s="108">
        <f t="shared" si="64"/>
        <v>0</v>
      </c>
      <c r="H126" s="108">
        <f t="shared" si="64"/>
        <v>0</v>
      </c>
      <c r="I126" s="108">
        <f t="shared" si="64"/>
        <v>0</v>
      </c>
      <c r="J126" s="108">
        <f t="shared" si="64"/>
        <v>0</v>
      </c>
      <c r="K126" s="108">
        <f t="shared" si="64"/>
        <v>0</v>
      </c>
      <c r="L126" s="108">
        <f t="shared" si="64"/>
        <v>0</v>
      </c>
      <c r="M126" s="108">
        <f t="shared" si="64"/>
        <v>0</v>
      </c>
      <c r="N126" s="108"/>
      <c r="O126" s="75"/>
    </row>
    <row r="127" spans="1:15" s="88" customFormat="1" x14ac:dyDescent="0.2">
      <c r="A127" s="71">
        <f>IF(B127&lt;&gt;"",MAX(A$7:A126)+1,"")</f>
        <v>93</v>
      </c>
      <c r="B127" s="75" t="s">
        <v>147</v>
      </c>
      <c r="C127" s="73"/>
      <c r="D127" s="96">
        <v>0</v>
      </c>
      <c r="E127" s="108">
        <f>E109+E115+E121</f>
        <v>-4.4619933651791683</v>
      </c>
      <c r="F127" s="108">
        <f t="shared" si="64"/>
        <v>-3.8525946966508191</v>
      </c>
      <c r="G127" s="108">
        <f t="shared" si="64"/>
        <v>-3.8772260700456673</v>
      </c>
      <c r="H127" s="108">
        <f t="shared" si="64"/>
        <v>-4.2028250128965823</v>
      </c>
      <c r="I127" s="108">
        <f t="shared" si="64"/>
        <v>-3.9299044250276931</v>
      </c>
      <c r="J127" s="108">
        <f t="shared" si="64"/>
        <v>-3.9800433248986296</v>
      </c>
      <c r="K127" s="108">
        <f t="shared" si="64"/>
        <v>-4.0056934429208528</v>
      </c>
      <c r="L127" s="108">
        <f t="shared" si="64"/>
        <v>-4.2281919441781408</v>
      </c>
      <c r="M127" s="108">
        <f t="shared" si="64"/>
        <v>-4.0594477138524896</v>
      </c>
      <c r="N127" s="108"/>
      <c r="O127" s="75"/>
    </row>
    <row r="128" spans="1:15" s="88" customFormat="1" x14ac:dyDescent="0.2">
      <c r="A128" s="71">
        <f>IF(B128&lt;&gt;"",MAX(A$7:A127)+1,"")</f>
        <v>94</v>
      </c>
      <c r="B128" s="72" t="s">
        <v>103</v>
      </c>
      <c r="C128" s="73"/>
      <c r="D128" s="109">
        <f>SUM(D125:D127)</f>
        <v>1050</v>
      </c>
      <c r="E128" s="109">
        <f>SUM(E125:E127)</f>
        <v>1045.5380066348209</v>
      </c>
      <c r="F128" s="109">
        <f t="shared" ref="F128:M128" si="65">SUM(F125:F127)</f>
        <v>1041.6854119381701</v>
      </c>
      <c r="G128" s="109">
        <f t="shared" si="65"/>
        <v>1037.8081858681244</v>
      </c>
      <c r="H128" s="109">
        <f t="shared" si="65"/>
        <v>1033.6053608552279</v>
      </c>
      <c r="I128" s="109">
        <f t="shared" si="65"/>
        <v>1029.6754564302003</v>
      </c>
      <c r="J128" s="109">
        <f t="shared" si="65"/>
        <v>1025.6954131053017</v>
      </c>
      <c r="K128" s="109">
        <f t="shared" si="65"/>
        <v>1021.6897196623809</v>
      </c>
      <c r="L128" s="109">
        <f t="shared" si="65"/>
        <v>1017.4615277182028</v>
      </c>
      <c r="M128" s="109">
        <f t="shared" si="65"/>
        <v>1013.4020800043503</v>
      </c>
      <c r="N128" s="109"/>
      <c r="O128" s="75"/>
    </row>
    <row r="129" spans="1:15" s="88" customFormat="1" x14ac:dyDescent="0.2">
      <c r="A129" s="71"/>
      <c r="B129" s="75"/>
      <c r="C129" s="75"/>
      <c r="D129" s="75"/>
      <c r="E129" s="75"/>
      <c r="F129" s="75"/>
      <c r="G129" s="75"/>
      <c r="H129" s="75"/>
      <c r="I129" s="75"/>
      <c r="J129" s="75"/>
      <c r="K129" s="75"/>
      <c r="L129" s="75"/>
      <c r="M129" s="75"/>
      <c r="O129" s="75"/>
    </row>
    <row r="130" spans="1:15" s="88" customFormat="1" ht="19.8" x14ac:dyDescent="0.3">
      <c r="A130" s="111" t="s">
        <v>148</v>
      </c>
      <c r="B130" s="111"/>
      <c r="C130" s="75"/>
      <c r="D130" s="75"/>
      <c r="E130" s="75"/>
      <c r="F130" s="75"/>
      <c r="G130" s="75"/>
      <c r="H130" s="75"/>
      <c r="I130" s="75"/>
      <c r="J130" s="75"/>
      <c r="K130" s="75"/>
      <c r="L130" s="75"/>
      <c r="M130" s="75"/>
      <c r="O130" s="75"/>
    </row>
    <row r="131" spans="1:15" s="88" customFormat="1" x14ac:dyDescent="0.2">
      <c r="A131" s="71"/>
      <c r="B131" s="75"/>
      <c r="C131" s="75"/>
      <c r="D131" s="75"/>
      <c r="E131" s="75"/>
      <c r="F131" s="75"/>
      <c r="G131" s="75"/>
      <c r="H131" s="75"/>
      <c r="I131" s="75"/>
      <c r="J131" s="75"/>
      <c r="K131" s="75"/>
      <c r="L131" s="75"/>
      <c r="M131" s="75"/>
      <c r="O131" s="75"/>
    </row>
    <row r="132" spans="1:15" s="88" customFormat="1" x14ac:dyDescent="0.2">
      <c r="A132" s="71">
        <f>IF(B132&lt;&gt;"",MAX(A$7:A129)+1,"")</f>
        <v>95</v>
      </c>
      <c r="B132" s="75" t="s">
        <v>149</v>
      </c>
      <c r="C132" s="75"/>
      <c r="D132" s="80">
        <v>0.01</v>
      </c>
      <c r="E132" s="80">
        <f>D132</f>
        <v>0.01</v>
      </c>
      <c r="F132" s="80">
        <f t="shared" ref="F132:M132" si="66">E132</f>
        <v>0.01</v>
      </c>
      <c r="G132" s="80">
        <f t="shared" si="66"/>
        <v>0.01</v>
      </c>
      <c r="H132" s="80">
        <f t="shared" si="66"/>
        <v>0.01</v>
      </c>
      <c r="I132" s="80">
        <f t="shared" si="66"/>
        <v>0.01</v>
      </c>
      <c r="J132" s="80">
        <f t="shared" si="66"/>
        <v>0.01</v>
      </c>
      <c r="K132" s="80">
        <f t="shared" si="66"/>
        <v>0.01</v>
      </c>
      <c r="L132" s="80">
        <f t="shared" si="66"/>
        <v>0.01</v>
      </c>
      <c r="M132" s="80">
        <f t="shared" si="66"/>
        <v>0.01</v>
      </c>
      <c r="N132" s="80"/>
      <c r="O132" s="75"/>
    </row>
    <row r="133" spans="1:15" s="88" customFormat="1" x14ac:dyDescent="0.2">
      <c r="A133" s="71" t="str">
        <f>IF(B133&lt;&gt;"",MAX(A$7:A130)+1,"")</f>
        <v/>
      </c>
      <c r="B133" s="75"/>
      <c r="C133" s="75"/>
      <c r="D133" s="75"/>
      <c r="E133" s="75"/>
      <c r="F133" s="75"/>
      <c r="G133" s="75"/>
      <c r="H133" s="75"/>
      <c r="I133" s="75"/>
      <c r="J133" s="75"/>
      <c r="K133" s="75"/>
      <c r="L133" s="75"/>
      <c r="M133" s="75"/>
      <c r="N133" s="75"/>
      <c r="O133" s="75"/>
    </row>
    <row r="134" spans="1:15" s="88" customFormat="1" x14ac:dyDescent="0.2">
      <c r="A134" s="71">
        <f>IF(B134&lt;&gt;"",MAX(A$7:A131)+1,"")</f>
        <v>95</v>
      </c>
      <c r="B134" s="72" t="s">
        <v>150</v>
      </c>
      <c r="C134" s="75"/>
      <c r="D134" s="75"/>
      <c r="E134" s="75"/>
      <c r="F134" s="75"/>
      <c r="G134" s="75"/>
      <c r="H134" s="75"/>
      <c r="I134" s="75"/>
      <c r="J134" s="75"/>
      <c r="K134" s="75"/>
      <c r="L134" s="75"/>
      <c r="M134" s="75"/>
      <c r="N134" s="75"/>
      <c r="O134" s="75"/>
    </row>
    <row r="135" spans="1:15" s="88" customFormat="1" ht="13.2" x14ac:dyDescent="0.25">
      <c r="A135" s="71">
        <f>IF(B135&lt;&gt;"",MAX(A$7:A134)+1,"")</f>
        <v>96</v>
      </c>
      <c r="B135" s="112" t="s">
        <v>151</v>
      </c>
      <c r="C135" s="75"/>
      <c r="D135" s="75">
        <v>19</v>
      </c>
      <c r="E135" s="75">
        <v>19</v>
      </c>
      <c r="F135" s="75">
        <v>38</v>
      </c>
      <c r="G135" s="75">
        <v>38</v>
      </c>
      <c r="H135" s="75">
        <v>38</v>
      </c>
      <c r="I135" s="75">
        <v>38</v>
      </c>
      <c r="J135" s="75">
        <v>38</v>
      </c>
      <c r="K135" s="75">
        <v>38</v>
      </c>
      <c r="L135" s="75">
        <v>38</v>
      </c>
      <c r="M135" s="75">
        <v>38</v>
      </c>
      <c r="N135" s="75"/>
      <c r="O135" s="75"/>
    </row>
    <row r="136" spans="1:15" s="88" customFormat="1" ht="13.2" x14ac:dyDescent="0.25">
      <c r="A136" s="71">
        <f>IF(B136&lt;&gt;"",MAX(A$7:A134)+1,"")</f>
        <v>96</v>
      </c>
      <c r="B136" s="112" t="s">
        <v>152</v>
      </c>
      <c r="C136" s="75"/>
      <c r="D136" s="75">
        <v>23</v>
      </c>
      <c r="E136" s="75">
        <v>23</v>
      </c>
      <c r="F136" s="75">
        <v>46</v>
      </c>
      <c r="G136" s="75">
        <v>46</v>
      </c>
      <c r="H136" s="75">
        <v>46</v>
      </c>
      <c r="I136" s="75">
        <v>46</v>
      </c>
      <c r="J136" s="75">
        <v>46</v>
      </c>
      <c r="K136" s="75">
        <v>46</v>
      </c>
      <c r="L136" s="75">
        <v>46</v>
      </c>
      <c r="M136" s="75">
        <v>46</v>
      </c>
      <c r="N136" s="75"/>
      <c r="O136" s="75"/>
    </row>
    <row r="137" spans="1:15" s="88" customFormat="1" ht="13.2" x14ac:dyDescent="0.25">
      <c r="A137" s="71">
        <f>IF(B137&lt;&gt;"",MAX(A$7:A134)+1,"")</f>
        <v>96</v>
      </c>
      <c r="B137" s="112" t="s">
        <v>153</v>
      </c>
      <c r="C137" s="75"/>
      <c r="D137" s="75">
        <v>30</v>
      </c>
      <c r="E137" s="75">
        <v>30</v>
      </c>
      <c r="F137" s="75">
        <v>60</v>
      </c>
      <c r="G137" s="75">
        <v>60</v>
      </c>
      <c r="H137" s="75">
        <v>60</v>
      </c>
      <c r="I137" s="75">
        <v>60</v>
      </c>
      <c r="J137" s="75">
        <v>60</v>
      </c>
      <c r="K137" s="75">
        <v>60</v>
      </c>
      <c r="L137" s="75">
        <v>60</v>
      </c>
      <c r="M137" s="75">
        <v>60</v>
      </c>
      <c r="N137" s="75"/>
      <c r="O137" s="75"/>
    </row>
    <row r="138" spans="1:15" s="88" customFormat="1" ht="13.2" x14ac:dyDescent="0.25">
      <c r="A138" s="71">
        <f>IF(B138&lt;&gt;"",MAX(A$7:A135)+1,"")</f>
        <v>97</v>
      </c>
      <c r="B138" s="112" t="s">
        <v>154</v>
      </c>
      <c r="C138" s="75"/>
      <c r="D138" s="75">
        <v>51</v>
      </c>
      <c r="E138" s="75">
        <v>51</v>
      </c>
      <c r="F138" s="75">
        <v>102</v>
      </c>
      <c r="G138" s="75">
        <v>102</v>
      </c>
      <c r="H138" s="75">
        <v>102</v>
      </c>
      <c r="I138" s="75">
        <v>102</v>
      </c>
      <c r="J138" s="75">
        <v>102</v>
      </c>
      <c r="K138" s="75">
        <v>102</v>
      </c>
      <c r="L138" s="75">
        <v>102</v>
      </c>
      <c r="M138" s="75">
        <v>102</v>
      </c>
      <c r="N138" s="75"/>
      <c r="O138" s="75"/>
    </row>
    <row r="139" spans="1:15" s="88" customFormat="1" ht="13.2" x14ac:dyDescent="0.25">
      <c r="A139" s="71">
        <f>IF(B139&lt;&gt;"",MAX(A$7:A136)+1,"")</f>
        <v>97</v>
      </c>
      <c r="B139" s="112" t="s">
        <v>155</v>
      </c>
      <c r="C139" s="75"/>
      <c r="D139" s="75">
        <v>80</v>
      </c>
      <c r="E139" s="75">
        <v>80</v>
      </c>
      <c r="F139" s="75">
        <v>160</v>
      </c>
      <c r="G139" s="75">
        <v>160</v>
      </c>
      <c r="H139" s="75">
        <v>160</v>
      </c>
      <c r="I139" s="75">
        <v>160</v>
      </c>
      <c r="J139" s="75">
        <v>160</v>
      </c>
      <c r="K139" s="75">
        <v>160</v>
      </c>
      <c r="L139" s="75">
        <v>160</v>
      </c>
      <c r="M139" s="75">
        <v>160</v>
      </c>
      <c r="N139" s="75"/>
      <c r="O139" s="75"/>
    </row>
    <row r="140" spans="1:15" s="88" customFormat="1" ht="13.2" x14ac:dyDescent="0.25">
      <c r="A140" s="71">
        <f>IF(B140&lt;&gt;"",MAX(A$7:A137)+1,"")</f>
        <v>97</v>
      </c>
      <c r="B140" s="112" t="s">
        <v>156</v>
      </c>
      <c r="C140" s="75"/>
      <c r="D140" s="75">
        <v>185</v>
      </c>
      <c r="E140" s="75">
        <v>185</v>
      </c>
      <c r="F140" s="75">
        <v>250</v>
      </c>
      <c r="G140" s="75">
        <f>F140</f>
        <v>250</v>
      </c>
      <c r="H140" s="75">
        <f>G140</f>
        <v>250</v>
      </c>
      <c r="I140" s="75">
        <f>H140</f>
        <v>250</v>
      </c>
      <c r="J140" s="75">
        <v>350</v>
      </c>
      <c r="K140" s="75">
        <v>350</v>
      </c>
      <c r="L140" s="75">
        <v>350</v>
      </c>
      <c r="M140" s="75">
        <v>350</v>
      </c>
      <c r="N140" s="75"/>
      <c r="O140" s="75"/>
    </row>
    <row r="141" spans="1:15" s="88" customFormat="1" x14ac:dyDescent="0.2">
      <c r="A141" s="71" t="str">
        <f>IF(B141&lt;&gt;"",MAX(A$7:A140)+1,"")</f>
        <v/>
      </c>
      <c r="B141" s="75"/>
      <c r="C141" s="75"/>
      <c r="D141" s="75"/>
      <c r="E141" s="75"/>
      <c r="F141" s="75"/>
      <c r="G141" s="75"/>
      <c r="H141" s="75"/>
      <c r="I141" s="75"/>
      <c r="J141" s="75"/>
      <c r="K141" s="75"/>
      <c r="L141" s="75"/>
      <c r="M141" s="75"/>
      <c r="N141" s="75"/>
      <c r="O141" s="75"/>
    </row>
    <row r="142" spans="1:15" s="88" customFormat="1" x14ac:dyDescent="0.2">
      <c r="A142" s="71">
        <f>IF(B142&lt;&gt;"",MAX(A$7:A133)+1,"")</f>
        <v>96</v>
      </c>
      <c r="B142" s="75" t="s">
        <v>157</v>
      </c>
      <c r="C142" s="96">
        <f>SUM(D142:M142)</f>
        <v>48.207435087034128</v>
      </c>
      <c r="D142" s="96">
        <f t="shared" ref="D142:M142" si="67">(D10)*(D82+D$132)*D107+C167</f>
        <v>4.125</v>
      </c>
      <c r="E142" s="96">
        <f t="shared" si="67"/>
        <v>4.2166666666666659</v>
      </c>
      <c r="F142" s="96">
        <f t="shared" si="67"/>
        <v>5.0883053672446392</v>
      </c>
      <c r="G142" s="96">
        <f t="shared" si="67"/>
        <v>5.0686143276839797</v>
      </c>
      <c r="H142" s="96">
        <f t="shared" si="67"/>
        <v>4.8841626967923926</v>
      </c>
      <c r="I142" s="96">
        <f t="shared" si="67"/>
        <v>5.0273162888156087</v>
      </c>
      <c r="J142" s="96">
        <f t="shared" si="67"/>
        <v>5.0072301106432437</v>
      </c>
      <c r="K142" s="96">
        <f t="shared" si="67"/>
        <v>4.9868876669826516</v>
      </c>
      <c r="L142" s="96">
        <f t="shared" si="67"/>
        <v>4.8584485983119032</v>
      </c>
      <c r="M142" s="96">
        <f t="shared" si="67"/>
        <v>4.9448033638930351</v>
      </c>
      <c r="N142" s="96"/>
      <c r="O142" s="75"/>
    </row>
    <row r="143" spans="1:15" s="88" customFormat="1" x14ac:dyDescent="0.2">
      <c r="A143" s="71">
        <f>IF(B143&lt;&gt;"",MAX(A$7:A142)+1,"")</f>
        <v>98</v>
      </c>
      <c r="B143" s="75" t="s">
        <v>158</v>
      </c>
      <c r="C143" s="75"/>
      <c r="D143" s="96">
        <f>-D127</f>
        <v>0</v>
      </c>
      <c r="E143" s="96">
        <f t="shared" ref="E143:M143" si="68">-E127-E144</f>
        <v>4.4619933651791683</v>
      </c>
      <c r="F143" s="96">
        <f t="shared" si="68"/>
        <v>3.8525946966508191</v>
      </c>
      <c r="G143" s="96">
        <f t="shared" si="68"/>
        <v>3.8772260700456673</v>
      </c>
      <c r="H143" s="96">
        <f t="shared" si="68"/>
        <v>4.2028250128965823</v>
      </c>
      <c r="I143" s="96">
        <f t="shared" si="68"/>
        <v>3.9299044250276931</v>
      </c>
      <c r="J143" s="96">
        <f t="shared" si="68"/>
        <v>3.9800433248986296</v>
      </c>
      <c r="K143" s="96">
        <f t="shared" si="68"/>
        <v>4.0056934429208528</v>
      </c>
      <c r="L143" s="96">
        <f t="shared" si="68"/>
        <v>4.2281919441781408</v>
      </c>
      <c r="M143" s="96">
        <f t="shared" si="68"/>
        <v>4.0594477138524896</v>
      </c>
      <c r="N143" s="96"/>
      <c r="O143" s="75"/>
    </row>
    <row r="144" spans="1:15" s="88" customFormat="1" x14ac:dyDescent="0.2">
      <c r="A144" s="71">
        <f>IF(B144&lt;&gt;"",MAX(A$7:A143)+1,"")</f>
        <v>99</v>
      </c>
      <c r="B144" s="75" t="s">
        <v>159</v>
      </c>
      <c r="C144" s="75">
        <v>150</v>
      </c>
      <c r="D144" s="96">
        <v>0</v>
      </c>
      <c r="E144" s="96">
        <f>MIN($C144-SUM($D144:D144),-E127+E103)</f>
        <v>0</v>
      </c>
      <c r="F144" s="96">
        <f>MIN($C144-SUM($D144:E144),-F127+F103)</f>
        <v>0</v>
      </c>
      <c r="G144" s="96">
        <f>MIN($C144-SUM($D144:F144),-G127+G103)</f>
        <v>0</v>
      </c>
      <c r="H144" s="96">
        <f>MIN($C144-SUM($D144:G144),-H127+H103)</f>
        <v>0</v>
      </c>
      <c r="I144" s="96">
        <f>MIN($C144-SUM($D144:H144),-I127+I103)</f>
        <v>0</v>
      </c>
      <c r="J144" s="96">
        <f>MIN($C144-SUM($D144:I144),-J127+J103)</f>
        <v>0</v>
      </c>
      <c r="K144" s="96">
        <f>MIN($C144-SUM($D144:J144),-K127+K103)</f>
        <v>0</v>
      </c>
      <c r="L144" s="96">
        <f>MIN($C144-SUM($D144:K144),-L127+L103)</f>
        <v>0</v>
      </c>
      <c r="M144" s="96">
        <f>MIN($C144-SUM($D144:L144),-M127+M103)</f>
        <v>0</v>
      </c>
      <c r="N144" s="96"/>
      <c r="O144" s="75"/>
    </row>
    <row r="145" spans="1:15" s="88" customFormat="1" x14ac:dyDescent="0.2">
      <c r="A145" s="71" t="str">
        <f>IF(B145&lt;&gt;"",MAX(A$7:A144)+1,"")</f>
        <v/>
      </c>
      <c r="B145" s="75"/>
      <c r="C145" s="75"/>
      <c r="D145" s="75"/>
      <c r="E145" s="75"/>
      <c r="F145" s="75"/>
      <c r="G145" s="75"/>
      <c r="H145" s="75"/>
      <c r="I145" s="75"/>
      <c r="J145" s="75"/>
      <c r="K145" s="75"/>
      <c r="L145" s="75"/>
      <c r="M145" s="75"/>
      <c r="N145" s="75"/>
      <c r="O145" s="75"/>
    </row>
    <row r="146" spans="1:15" s="88" customFormat="1" x14ac:dyDescent="0.2">
      <c r="A146" s="71">
        <f>IF(B146&lt;&gt;"",MAX(A$7:A145)+1,"")</f>
        <v>100</v>
      </c>
      <c r="B146" s="72" t="s">
        <v>160</v>
      </c>
      <c r="C146" s="75"/>
      <c r="D146" s="75"/>
      <c r="E146" s="75"/>
      <c r="F146" s="75"/>
      <c r="G146" s="75"/>
      <c r="H146" s="75"/>
      <c r="I146" s="75"/>
      <c r="J146" s="75"/>
      <c r="K146" s="75"/>
      <c r="L146" s="75"/>
      <c r="M146" s="75"/>
      <c r="N146" s="75"/>
      <c r="O146" s="75"/>
    </row>
    <row r="147" spans="1:15" s="88" customFormat="1" x14ac:dyDescent="0.2">
      <c r="A147" s="71">
        <f>IF(B147&lt;&gt;"",MAX(A$7:A146)+1,"")</f>
        <v>101</v>
      </c>
      <c r="B147" s="75" t="s">
        <v>161</v>
      </c>
      <c r="C147" s="113">
        <f>SUM(D147:M147)</f>
        <v>-1.2250000000000001</v>
      </c>
      <c r="D147" s="113">
        <v>-0.1</v>
      </c>
      <c r="E147" s="113">
        <f>-0.125</f>
        <v>-0.125</v>
      </c>
      <c r="F147" s="113">
        <f t="shared" ref="F147:M147" si="69">-0.125</f>
        <v>-0.125</v>
      </c>
      <c r="G147" s="113">
        <f t="shared" si="69"/>
        <v>-0.125</v>
      </c>
      <c r="H147" s="113">
        <f t="shared" si="69"/>
        <v>-0.125</v>
      </c>
      <c r="I147" s="113">
        <f t="shared" si="69"/>
        <v>-0.125</v>
      </c>
      <c r="J147" s="113">
        <f t="shared" si="69"/>
        <v>-0.125</v>
      </c>
      <c r="K147" s="113">
        <f t="shared" si="69"/>
        <v>-0.125</v>
      </c>
      <c r="L147" s="113">
        <f t="shared" si="69"/>
        <v>-0.125</v>
      </c>
      <c r="M147" s="113">
        <f t="shared" si="69"/>
        <v>-0.125</v>
      </c>
      <c r="N147" s="96"/>
      <c r="O147" s="75"/>
    </row>
    <row r="148" spans="1:15" s="88" customFormat="1" ht="13.2" x14ac:dyDescent="0.25">
      <c r="A148" s="71">
        <f>IF(B148&lt;&gt;"",MAX(A$7:A147)+1,"")</f>
        <v>102</v>
      </c>
      <c r="B148" s="112" t="s">
        <v>162</v>
      </c>
      <c r="C148" s="113">
        <f>SUM(D148:M148)</f>
        <v>0</v>
      </c>
      <c r="D148" s="113">
        <v>0</v>
      </c>
      <c r="E148" s="113">
        <v>0</v>
      </c>
      <c r="F148" s="113">
        <v>0</v>
      </c>
      <c r="G148" s="113">
        <v>0</v>
      </c>
      <c r="H148" s="113">
        <v>0</v>
      </c>
      <c r="I148" s="113">
        <v>0</v>
      </c>
      <c r="J148" s="113">
        <v>0</v>
      </c>
      <c r="K148" s="113">
        <v>0</v>
      </c>
      <c r="L148" s="113">
        <v>0</v>
      </c>
      <c r="M148" s="113">
        <v>0</v>
      </c>
      <c r="N148" s="96"/>
      <c r="O148" s="75"/>
    </row>
    <row r="149" spans="1:15" s="88" customFormat="1" ht="13.2" x14ac:dyDescent="0.25">
      <c r="A149" s="71">
        <f>IF(B149&lt;&gt;"",MAX(A$7:A148)+1,"")</f>
        <v>103</v>
      </c>
      <c r="B149" s="112" t="s">
        <v>151</v>
      </c>
      <c r="C149" s="113"/>
      <c r="D149" s="113">
        <f t="shared" ref="D149:M154" si="70">-(D135/10000+D$132)*D$10*D171</f>
        <v>-1.9114375000000001</v>
      </c>
      <c r="E149" s="113">
        <f t="shared" si="70"/>
        <v>-1.953913888888889</v>
      </c>
      <c r="F149" s="113">
        <f t="shared" si="70"/>
        <v>-2.2501473700654677</v>
      </c>
      <c r="G149" s="113">
        <f t="shared" si="70"/>
        <v>-2.2365605527686125</v>
      </c>
      <c r="H149" s="113">
        <f t="shared" si="70"/>
        <v>-2.1504014274534171</v>
      </c>
      <c r="I149" s="113">
        <f t="shared" si="70"/>
        <v>-2.2080649059494362</v>
      </c>
      <c r="J149" s="113">
        <f t="shared" si="70"/>
        <v>-2.1942054430105054</v>
      </c>
      <c r="K149" s="113">
        <f t="shared" si="70"/>
        <v>-2.1801691568846961</v>
      </c>
      <c r="L149" s="113">
        <f t="shared" si="70"/>
        <v>-2.1189545328352133</v>
      </c>
      <c r="M149" s="113">
        <f t="shared" si="70"/>
        <v>-2.1511309877528606</v>
      </c>
      <c r="N149" s="96"/>
      <c r="O149" s="75"/>
    </row>
    <row r="150" spans="1:15" s="88" customFormat="1" ht="13.2" x14ac:dyDescent="0.25">
      <c r="A150" s="71">
        <f>IF(B150&lt;&gt;"",MAX(A$7:A149)+1,"")</f>
        <v>104</v>
      </c>
      <c r="B150" s="112" t="s">
        <v>152</v>
      </c>
      <c r="C150" s="113"/>
      <c r="D150" s="113">
        <f t="shared" si="70"/>
        <v>-6.3037499999999996E-2</v>
      </c>
      <c r="E150" s="113">
        <f t="shared" si="70"/>
        <v>-6.4438333333333334E-2</v>
      </c>
      <c r="F150" s="113">
        <f t="shared" si="70"/>
        <v>-7.6487777777777766E-2</v>
      </c>
      <c r="G150" s="113">
        <f t="shared" si="70"/>
        <v>-7.6487777777777766E-2</v>
      </c>
      <c r="H150" s="113">
        <f t="shared" si="70"/>
        <v>-7.3993611111111121E-2</v>
      </c>
      <c r="I150" s="113">
        <f t="shared" si="70"/>
        <v>-7.6487777777777766E-2</v>
      </c>
      <c r="J150" s="113">
        <f t="shared" si="70"/>
        <v>-7.6487777777777766E-2</v>
      </c>
      <c r="K150" s="113">
        <f t="shared" si="70"/>
        <v>-7.6487777777777766E-2</v>
      </c>
      <c r="L150" s="113">
        <f t="shared" si="70"/>
        <v>-7.4825000000000003E-2</v>
      </c>
      <c r="M150" s="113">
        <f t="shared" si="70"/>
        <v>-7.6487777777777766E-2</v>
      </c>
      <c r="N150" s="96"/>
      <c r="O150" s="75"/>
    </row>
    <row r="151" spans="1:15" s="88" customFormat="1" ht="13.2" x14ac:dyDescent="0.25">
      <c r="A151" s="71">
        <f>IF(B151&lt;&gt;"",MAX(A$7:A150)+1,"")</f>
        <v>105</v>
      </c>
      <c r="B151" s="112" t="s">
        <v>153</v>
      </c>
      <c r="C151" s="113"/>
      <c r="D151" s="113">
        <f t="shared" si="70"/>
        <v>-0.36562500000000003</v>
      </c>
      <c r="E151" s="113">
        <f t="shared" si="70"/>
        <v>-0.37374999999999997</v>
      </c>
      <c r="F151" s="113">
        <f t="shared" si="70"/>
        <v>-0.45999999999999996</v>
      </c>
      <c r="G151" s="113">
        <f t="shared" si="70"/>
        <v>-0.45999999999999996</v>
      </c>
      <c r="H151" s="113">
        <f t="shared" si="70"/>
        <v>-0.44500000000000006</v>
      </c>
      <c r="I151" s="113">
        <f t="shared" si="70"/>
        <v>-0.45999999999999996</v>
      </c>
      <c r="J151" s="113">
        <f t="shared" si="70"/>
        <v>-0.45999999999999996</v>
      </c>
      <c r="K151" s="113">
        <f t="shared" si="70"/>
        <v>-0.45999999999999996</v>
      </c>
      <c r="L151" s="113">
        <f t="shared" si="70"/>
        <v>-0.45</v>
      </c>
      <c r="M151" s="113">
        <f t="shared" si="70"/>
        <v>-0.45999999999999996</v>
      </c>
      <c r="N151" s="96"/>
      <c r="O151" s="75"/>
    </row>
    <row r="152" spans="1:15" s="88" customFormat="1" ht="13.2" x14ac:dyDescent="0.25">
      <c r="A152" s="71">
        <f>IF(B152&lt;&gt;"",MAX(A$7:A151)+1,"")</f>
        <v>106</v>
      </c>
      <c r="B152" s="112" t="s">
        <v>154</v>
      </c>
      <c r="C152" s="113"/>
      <c r="D152" s="113">
        <f t="shared" si="70"/>
        <v>-0.53793750000000007</v>
      </c>
      <c r="E152" s="113">
        <f t="shared" si="70"/>
        <v>-0.54989166666666667</v>
      </c>
      <c r="F152" s="113">
        <f t="shared" si="70"/>
        <v>-0.7356166666666667</v>
      </c>
      <c r="G152" s="113">
        <f t="shared" si="70"/>
        <v>-0.7356166666666667</v>
      </c>
      <c r="H152" s="113">
        <f t="shared" si="70"/>
        <v>-0.71162916666666676</v>
      </c>
      <c r="I152" s="113">
        <f t="shared" si="70"/>
        <v>-0.7356166666666667</v>
      </c>
      <c r="J152" s="113">
        <f t="shared" si="70"/>
        <v>-0.7356166666666667</v>
      </c>
      <c r="K152" s="113">
        <f t="shared" si="70"/>
        <v>-0.7356166666666667</v>
      </c>
      <c r="L152" s="113">
        <f t="shared" si="70"/>
        <v>-0.71962500000000007</v>
      </c>
      <c r="M152" s="113">
        <f t="shared" si="70"/>
        <v>-0.7356166666666667</v>
      </c>
      <c r="N152" s="96"/>
      <c r="O152" s="75"/>
    </row>
    <row r="153" spans="1:15" s="88" customFormat="1" ht="13.2" x14ac:dyDescent="0.25">
      <c r="A153" s="71">
        <f>IF(B153&lt;&gt;"",MAX(A$7:A152)+1,"")</f>
        <v>107</v>
      </c>
      <c r="B153" s="112" t="s">
        <v>155</v>
      </c>
      <c r="C153" s="113"/>
      <c r="D153" s="113">
        <f t="shared" si="70"/>
        <v>-0.36900000000000005</v>
      </c>
      <c r="E153" s="113">
        <f t="shared" si="70"/>
        <v>-0.37719999999999998</v>
      </c>
      <c r="F153" s="113">
        <f t="shared" si="70"/>
        <v>-0.54484444444444446</v>
      </c>
      <c r="G153" s="113">
        <f t="shared" si="70"/>
        <v>-0.54484444444444446</v>
      </c>
      <c r="H153" s="113">
        <f t="shared" si="70"/>
        <v>-0.52707777777777787</v>
      </c>
      <c r="I153" s="113">
        <f t="shared" si="70"/>
        <v>-0.54484444444444446</v>
      </c>
      <c r="J153" s="113">
        <f t="shared" si="70"/>
        <v>-0.54484444444444446</v>
      </c>
      <c r="K153" s="113">
        <f t="shared" si="70"/>
        <v>-0.54484444444444446</v>
      </c>
      <c r="L153" s="113">
        <f t="shared" si="70"/>
        <v>-0.53300000000000003</v>
      </c>
      <c r="M153" s="113">
        <f t="shared" si="70"/>
        <v>-0.54484444444444446</v>
      </c>
      <c r="N153" s="96"/>
      <c r="O153" s="75"/>
    </row>
    <row r="154" spans="1:15" s="88" customFormat="1" ht="13.2" x14ac:dyDescent="0.25">
      <c r="A154" s="71">
        <f>IF(B154&lt;&gt;"",MAX(A$7:A153)+1,"")</f>
        <v>108</v>
      </c>
      <c r="B154" s="112" t="s">
        <v>156</v>
      </c>
      <c r="C154" s="113"/>
      <c r="D154" s="113">
        <f t="shared" si="70"/>
        <v>-0.35624999999999996</v>
      </c>
      <c r="E154" s="113">
        <f t="shared" si="70"/>
        <v>-0.36416666666666658</v>
      </c>
      <c r="F154" s="113">
        <f t="shared" si="70"/>
        <v>-0.44722222222222219</v>
      </c>
      <c r="G154" s="113">
        <f t="shared" si="70"/>
        <v>-0.44722222222222219</v>
      </c>
      <c r="H154" s="113">
        <f t="shared" si="70"/>
        <v>-0.43263888888888891</v>
      </c>
      <c r="I154" s="113">
        <f t="shared" si="70"/>
        <v>-0.44722222222222219</v>
      </c>
      <c r="J154" s="113">
        <f t="shared" si="70"/>
        <v>-0.57499999999999996</v>
      </c>
      <c r="K154" s="113">
        <f t="shared" si="70"/>
        <v>-0.57499999999999996</v>
      </c>
      <c r="L154" s="113">
        <f t="shared" si="70"/>
        <v>-0.56250000000000011</v>
      </c>
      <c r="M154" s="113">
        <f t="shared" si="70"/>
        <v>-0.57499999999999996</v>
      </c>
      <c r="N154" s="96"/>
      <c r="O154" s="75"/>
    </row>
    <row r="155" spans="1:15" s="88" customFormat="1" ht="13.2" x14ac:dyDescent="0.25">
      <c r="A155" s="71" t="str">
        <f>IF(B155&lt;&gt;"",MAX(A$7:A154)+1,"")</f>
        <v/>
      </c>
      <c r="B155" s="112"/>
      <c r="C155" s="113"/>
      <c r="D155" s="114">
        <f>SUM(D147:D154)</f>
        <v>-3.7032875000000001</v>
      </c>
      <c r="E155" s="114">
        <f t="shared" ref="E155:M155" si="71">SUM(E147:E154)</f>
        <v>-3.8083605555555557</v>
      </c>
      <c r="F155" s="114">
        <f t="shared" si="71"/>
        <v>-4.6393184811765789</v>
      </c>
      <c r="G155" s="114">
        <f t="shared" si="71"/>
        <v>-4.6257316638797237</v>
      </c>
      <c r="H155" s="114">
        <f t="shared" si="71"/>
        <v>-4.4657408718978608</v>
      </c>
      <c r="I155" s="114">
        <f t="shared" si="71"/>
        <v>-4.5972360170605473</v>
      </c>
      <c r="J155" s="114">
        <f t="shared" si="71"/>
        <v>-4.7111543318993947</v>
      </c>
      <c r="K155" s="114">
        <f t="shared" si="71"/>
        <v>-4.6971180457735855</v>
      </c>
      <c r="L155" s="114">
        <f t="shared" si="71"/>
        <v>-4.5839045328352137</v>
      </c>
      <c r="M155" s="114">
        <f t="shared" si="71"/>
        <v>-4.6680798766417499</v>
      </c>
      <c r="N155" s="98"/>
      <c r="O155" s="75"/>
    </row>
    <row r="156" spans="1:15" s="88" customFormat="1" x14ac:dyDescent="0.2">
      <c r="A156" s="71">
        <f>IF(B156&lt;&gt;"",MAX(A$7:A155)+1,"")</f>
        <v>109</v>
      </c>
      <c r="B156" s="72" t="s">
        <v>163</v>
      </c>
      <c r="C156" s="113"/>
      <c r="D156" s="113"/>
      <c r="E156" s="113"/>
      <c r="F156" s="113"/>
      <c r="G156" s="113"/>
      <c r="H156" s="113"/>
      <c r="I156" s="113"/>
      <c r="J156" s="113"/>
      <c r="K156" s="113"/>
      <c r="L156" s="113"/>
      <c r="M156" s="113"/>
      <c r="N156" s="75"/>
      <c r="O156" s="75"/>
    </row>
    <row r="157" spans="1:15" s="88" customFormat="1" x14ac:dyDescent="0.2">
      <c r="A157" s="71">
        <f>IF(B157&lt;&gt;"",MAX(A$7:A156)+1,"")</f>
        <v>110</v>
      </c>
      <c r="B157" s="75" t="s">
        <v>161</v>
      </c>
      <c r="C157" s="113"/>
      <c r="D157" s="113">
        <f>MAX(-D142,D147)</f>
        <v>-0.1</v>
      </c>
      <c r="E157" s="113">
        <f>MAX(-E142,E147)</f>
        <v>-0.125</v>
      </c>
      <c r="F157" s="113">
        <f t="shared" ref="F157:M157" si="72">MAX(-F142,F147)</f>
        <v>-0.125</v>
      </c>
      <c r="G157" s="113">
        <f t="shared" si="72"/>
        <v>-0.125</v>
      </c>
      <c r="H157" s="113">
        <f t="shared" si="72"/>
        <v>-0.125</v>
      </c>
      <c r="I157" s="113">
        <f t="shared" si="72"/>
        <v>-0.125</v>
      </c>
      <c r="J157" s="113">
        <f t="shared" si="72"/>
        <v>-0.125</v>
      </c>
      <c r="K157" s="113">
        <f t="shared" si="72"/>
        <v>-0.125</v>
      </c>
      <c r="L157" s="113">
        <f t="shared" si="72"/>
        <v>-0.125</v>
      </c>
      <c r="M157" s="113">
        <f t="shared" si="72"/>
        <v>-0.125</v>
      </c>
      <c r="N157" s="96"/>
      <c r="O157" s="75"/>
    </row>
    <row r="158" spans="1:15" s="88" customFormat="1" ht="13.2" x14ac:dyDescent="0.25">
      <c r="A158" s="71">
        <f>IF(B158&lt;&gt;"",MAX(A$7:A157)+1,"")</f>
        <v>111</v>
      </c>
      <c r="B158" s="112" t="s">
        <v>162</v>
      </c>
      <c r="C158" s="113"/>
      <c r="D158" s="113">
        <f>IF(D170&lt;&gt;0,MIN(-(D142+D157+SUM(D149:D154)),0),0)</f>
        <v>-0.42171249999999993</v>
      </c>
      <c r="E158" s="113">
        <f>MIN(-(E142+E157+SUM(E149:E154)),0)</f>
        <v>-0.40830611111111015</v>
      </c>
      <c r="F158" s="113">
        <f t="shared" ref="F158:M158" si="73">MIN(-(F142+F157+SUM(F149:F154)),0)</f>
        <v>-0.44898688606806036</v>
      </c>
      <c r="G158" s="113">
        <f t="shared" si="73"/>
        <v>-0.442882663804256</v>
      </c>
      <c r="H158" s="113">
        <f t="shared" si="73"/>
        <v>-0.41842182489453084</v>
      </c>
      <c r="I158" s="113">
        <f t="shared" si="73"/>
        <v>-0.43008027175506136</v>
      </c>
      <c r="J158" s="113">
        <f t="shared" si="73"/>
        <v>-0.29607577874384905</v>
      </c>
      <c r="K158" s="113">
        <f t="shared" si="73"/>
        <v>-0.28976962120906613</v>
      </c>
      <c r="L158" s="113">
        <f t="shared" si="73"/>
        <v>-0.27454406547668952</v>
      </c>
      <c r="M158" s="113">
        <f t="shared" si="73"/>
        <v>-0.27672348725128515</v>
      </c>
      <c r="N158" s="113"/>
      <c r="O158" s="75"/>
    </row>
    <row r="159" spans="1:15" s="88" customFormat="1" ht="13.2" x14ac:dyDescent="0.25">
      <c r="A159" s="71">
        <f>IF(B159&lt;&gt;"",MAX(A$7:A158)+1,"")</f>
        <v>112</v>
      </c>
      <c r="B159" s="112" t="s">
        <v>151</v>
      </c>
      <c r="C159" s="113"/>
      <c r="D159" s="113">
        <f>MAX(-D$142-SUM(D$157:D158),D149)</f>
        <v>-1.9114375000000001</v>
      </c>
      <c r="E159" s="113">
        <f>MAX(-E$142-SUM(E$157:E158),E149)</f>
        <v>-1.953913888888889</v>
      </c>
      <c r="F159" s="113">
        <f>MAX(-F$142-SUM(F$157:F158),F149)</f>
        <v>-2.2501473700654677</v>
      </c>
      <c r="G159" s="113">
        <f>MAX(-G$142-SUM(G$157:G158),G149)</f>
        <v>-2.2365605527686125</v>
      </c>
      <c r="H159" s="113">
        <f>MAX(-H$142-SUM(H$157:H158),H149)</f>
        <v>-2.1504014274534171</v>
      </c>
      <c r="I159" s="113">
        <f>MAX(-I$142-SUM(I$157:I158),I149)</f>
        <v>-2.2080649059494362</v>
      </c>
      <c r="J159" s="113">
        <f>MAX(-J$142-SUM(J$157:J158),J149)</f>
        <v>-2.1942054430105054</v>
      </c>
      <c r="K159" s="113">
        <f>MAX(-K$142-SUM(K$157:K158),K149)</f>
        <v>-2.1801691568846961</v>
      </c>
      <c r="L159" s="113">
        <f>MAX(-L$142-SUM(L$157:L158),L149)</f>
        <v>-2.1189545328352133</v>
      </c>
      <c r="M159" s="113">
        <f>MAX(-M$142-SUM(M$157:M158),M149)</f>
        <v>-2.1511309877528606</v>
      </c>
      <c r="N159" s="96"/>
      <c r="O159" s="75"/>
    </row>
    <row r="160" spans="1:15" s="88" customFormat="1" ht="13.2" x14ac:dyDescent="0.25">
      <c r="A160" s="71">
        <f>IF(B160&lt;&gt;"",MAX(A$7:A159)+1,"")</f>
        <v>113</v>
      </c>
      <c r="B160" s="112" t="s">
        <v>152</v>
      </c>
      <c r="C160" s="113"/>
      <c r="D160" s="113">
        <f>MAX(-D$142-SUM(D$157:D159),D150)</f>
        <v>-6.3037499999999996E-2</v>
      </c>
      <c r="E160" s="113">
        <f>MAX(-E$142-SUM(E$157:E159),E150)</f>
        <v>-6.4438333333333334E-2</v>
      </c>
      <c r="F160" s="113">
        <f>MAX(-F$142-SUM(F$157:F159),F150)</f>
        <v>-7.6487777777777766E-2</v>
      </c>
      <c r="G160" s="113">
        <f>MAX(-G$142-SUM(G$157:G159),G150)</f>
        <v>-7.6487777777777766E-2</v>
      </c>
      <c r="H160" s="113">
        <f>MAX(-H$142-SUM(H$157:H159),H150)</f>
        <v>-7.3993611111111121E-2</v>
      </c>
      <c r="I160" s="113">
        <f>MAX(-I$142-SUM(I$157:I159),I150)</f>
        <v>-7.6487777777777766E-2</v>
      </c>
      <c r="J160" s="113">
        <f>MAX(-J$142-SUM(J$157:J159),J150)</f>
        <v>-7.6487777777777766E-2</v>
      </c>
      <c r="K160" s="113">
        <f>MAX(-K$142-SUM(K$157:K159),K150)</f>
        <v>-7.6487777777777766E-2</v>
      </c>
      <c r="L160" s="113">
        <f>MAX(-L$142-SUM(L$157:L159),L150)</f>
        <v>-7.4825000000000003E-2</v>
      </c>
      <c r="M160" s="113">
        <f>MAX(-M$142-SUM(M$157:M159),M150)</f>
        <v>-7.6487777777777766E-2</v>
      </c>
      <c r="N160" s="96"/>
      <c r="O160" s="75"/>
    </row>
    <row r="161" spans="1:15" s="88" customFormat="1" ht="13.2" x14ac:dyDescent="0.25">
      <c r="A161" s="71">
        <f>IF(B161&lt;&gt;"",MAX(A$7:A160)+1,"")</f>
        <v>114</v>
      </c>
      <c r="B161" s="112" t="s">
        <v>153</v>
      </c>
      <c r="C161" s="113"/>
      <c r="D161" s="113">
        <f>MAX(-D$142-SUM(D$157:D160),D151)</f>
        <v>-0.36562500000000003</v>
      </c>
      <c r="E161" s="113">
        <f>MAX(-E$142-SUM(E$157:E160),E151)</f>
        <v>-0.37374999999999997</v>
      </c>
      <c r="F161" s="113">
        <f>MAX(-F$142-SUM(F$157:F160),F151)</f>
        <v>-0.45999999999999996</v>
      </c>
      <c r="G161" s="113">
        <f>MAX(-G$142-SUM(G$157:G160),G151)</f>
        <v>-0.45999999999999996</v>
      </c>
      <c r="H161" s="113">
        <f>MAX(-H$142-SUM(H$157:H160),H151)</f>
        <v>-0.44500000000000006</v>
      </c>
      <c r="I161" s="113">
        <f>MAX(-I$142-SUM(I$157:I160),I151)</f>
        <v>-0.45999999999999996</v>
      </c>
      <c r="J161" s="113">
        <f>MAX(-J$142-SUM(J$157:J160),J151)</f>
        <v>-0.45999999999999996</v>
      </c>
      <c r="K161" s="113">
        <f>MAX(-K$142-SUM(K$157:K160),K151)</f>
        <v>-0.45999999999999996</v>
      </c>
      <c r="L161" s="113">
        <f>MAX(-L$142-SUM(L$157:L160),L151)</f>
        <v>-0.45</v>
      </c>
      <c r="M161" s="113">
        <f>MAX(-M$142-SUM(M$157:M160),M151)</f>
        <v>-0.45999999999999996</v>
      </c>
      <c r="N161" s="96"/>
      <c r="O161" s="75"/>
    </row>
    <row r="162" spans="1:15" s="88" customFormat="1" ht="13.2" x14ac:dyDescent="0.25">
      <c r="A162" s="71">
        <f>IF(B162&lt;&gt;"",MAX(A$7:A161)+1,"")</f>
        <v>115</v>
      </c>
      <c r="B162" s="112" t="s">
        <v>154</v>
      </c>
      <c r="C162" s="113"/>
      <c r="D162" s="113">
        <f>MAX(-D$142-SUM(D$157:D161),D152)</f>
        <v>-0.53793750000000007</v>
      </c>
      <c r="E162" s="113">
        <f>MAX(-E$142-SUM(E$157:E161),E152)</f>
        <v>-0.54989166666666667</v>
      </c>
      <c r="F162" s="113">
        <f>MAX(-F$142-SUM(F$157:F161),F152)</f>
        <v>-0.7356166666666667</v>
      </c>
      <c r="G162" s="113">
        <f>MAX(-G$142-SUM(G$157:G161),G152)</f>
        <v>-0.7356166666666667</v>
      </c>
      <c r="H162" s="113">
        <f>MAX(-H$142-SUM(H$157:H161),H152)</f>
        <v>-0.71162916666666676</v>
      </c>
      <c r="I162" s="113">
        <f>MAX(-I$142-SUM(I$157:I161),I152)</f>
        <v>-0.7356166666666667</v>
      </c>
      <c r="J162" s="113">
        <f>MAX(-J$142-SUM(J$157:J161),J152)</f>
        <v>-0.7356166666666667</v>
      </c>
      <c r="K162" s="113">
        <f>MAX(-K$142-SUM(K$157:K161),K152)</f>
        <v>-0.7356166666666667</v>
      </c>
      <c r="L162" s="113">
        <f>MAX(-L$142-SUM(L$157:L161),L152)</f>
        <v>-0.71962500000000007</v>
      </c>
      <c r="M162" s="113">
        <f>MAX(-M$142-SUM(M$157:M161),M152)</f>
        <v>-0.7356166666666667</v>
      </c>
      <c r="N162" s="96"/>
      <c r="O162" s="75"/>
    </row>
    <row r="163" spans="1:15" s="88" customFormat="1" ht="13.2" x14ac:dyDescent="0.25">
      <c r="A163" s="71">
        <f>IF(B163&lt;&gt;"",MAX(A$7:A162)+1,"")</f>
        <v>116</v>
      </c>
      <c r="B163" s="112" t="s">
        <v>155</v>
      </c>
      <c r="C163" s="113"/>
      <c r="D163" s="113">
        <f>MAX(-D$142-SUM(D$157:D162),D153)</f>
        <v>-0.36900000000000005</v>
      </c>
      <c r="E163" s="113">
        <f>MAX(-E$142-SUM(E$157:E162),E153)</f>
        <v>-0.37719999999999998</v>
      </c>
      <c r="F163" s="113">
        <f>MAX(-F$142-SUM(F$157:F162),F153)</f>
        <v>-0.54484444444444446</v>
      </c>
      <c r="G163" s="113">
        <f>MAX(-G$142-SUM(G$157:G162),G153)</f>
        <v>-0.54484444444444446</v>
      </c>
      <c r="H163" s="113">
        <f>MAX(-H$142-SUM(H$157:H162),H153)</f>
        <v>-0.52707777777777787</v>
      </c>
      <c r="I163" s="113">
        <f>MAX(-I$142-SUM(I$157:I162),I153)</f>
        <v>-0.54484444444444446</v>
      </c>
      <c r="J163" s="113">
        <f>MAX(-J$142-SUM(J$157:J162),J153)</f>
        <v>-0.54484444444444446</v>
      </c>
      <c r="K163" s="113">
        <f>MAX(-K$142-SUM(K$157:K162),K153)</f>
        <v>-0.54484444444444446</v>
      </c>
      <c r="L163" s="113">
        <f>MAX(-L$142-SUM(L$157:L162),L153)</f>
        <v>-0.53300000000000003</v>
      </c>
      <c r="M163" s="113">
        <f>MAX(-M$142-SUM(M$157:M162),M153)</f>
        <v>-0.54484444444444446</v>
      </c>
      <c r="N163" s="96"/>
      <c r="O163" s="75"/>
    </row>
    <row r="164" spans="1:15" s="88" customFormat="1" ht="13.2" x14ac:dyDescent="0.25">
      <c r="A164" s="71">
        <f>IF(B164&lt;&gt;"",MAX(A$7:A163)+1,"")</f>
        <v>117</v>
      </c>
      <c r="B164" s="112" t="s">
        <v>156</v>
      </c>
      <c r="C164" s="113"/>
      <c r="D164" s="113">
        <f>MAX(-D$142-SUM(D$157:D163),D154)</f>
        <v>-0.35624999999999973</v>
      </c>
      <c r="E164" s="113">
        <f>MAX(-E$142-SUM(E$157:E163),E154)</f>
        <v>-0.36416666666666658</v>
      </c>
      <c r="F164" s="113">
        <f>MAX(-F$142-SUM(F$157:F163),F154)</f>
        <v>-0.44722222222222197</v>
      </c>
      <c r="G164" s="113">
        <f>MAX(-G$142-SUM(G$157:G163),G154)</f>
        <v>-0.44722222222222197</v>
      </c>
      <c r="H164" s="113">
        <f>MAX(-H$142-SUM(H$157:H163),H154)</f>
        <v>-0.43263888888888891</v>
      </c>
      <c r="I164" s="113">
        <f>MAX(-I$142-SUM(I$157:I163),I154)</f>
        <v>-0.44722222222222197</v>
      </c>
      <c r="J164" s="113">
        <f>MAX(-J$142-SUM(J$157:J163),J154)</f>
        <v>-0.57499999999999996</v>
      </c>
      <c r="K164" s="113">
        <f>MAX(-K$142-SUM(K$157:K163),K154)</f>
        <v>-0.57499999999999996</v>
      </c>
      <c r="L164" s="113">
        <f>MAX(-L$142-SUM(L$157:L163),L154)</f>
        <v>-0.5625</v>
      </c>
      <c r="M164" s="113">
        <f>MAX(-M$142-SUM(M$157:M163),M154)</f>
        <v>-0.57499999999999996</v>
      </c>
      <c r="N164" s="96"/>
      <c r="O164" s="75"/>
    </row>
    <row r="165" spans="1:15" s="88" customFormat="1" ht="13.2" x14ac:dyDescent="0.25">
      <c r="A165" s="71" t="str">
        <f>IF(B165&lt;&gt;"",MAX(A$7:A164)+1,"")</f>
        <v/>
      </c>
      <c r="B165" s="112"/>
      <c r="C165" s="113"/>
      <c r="D165" s="114">
        <f>SUM(D157:D164)</f>
        <v>-4.125</v>
      </c>
      <c r="E165" s="114">
        <f t="shared" ref="E165:M165" si="74">SUM(E157:E164)</f>
        <v>-4.2166666666666659</v>
      </c>
      <c r="F165" s="114">
        <f t="shared" si="74"/>
        <v>-5.0883053672446392</v>
      </c>
      <c r="G165" s="114">
        <f t="shared" si="74"/>
        <v>-5.0686143276839797</v>
      </c>
      <c r="H165" s="114">
        <f t="shared" si="74"/>
        <v>-4.8841626967923917</v>
      </c>
      <c r="I165" s="114">
        <f t="shared" si="74"/>
        <v>-5.0273162888156087</v>
      </c>
      <c r="J165" s="114">
        <f t="shared" si="74"/>
        <v>-5.0072301106432437</v>
      </c>
      <c r="K165" s="114">
        <f t="shared" si="74"/>
        <v>-4.9868876669826516</v>
      </c>
      <c r="L165" s="114">
        <f t="shared" si="74"/>
        <v>-4.8584485983119032</v>
      </c>
      <c r="M165" s="114">
        <f t="shared" si="74"/>
        <v>-4.9448033638930351</v>
      </c>
      <c r="N165" s="98"/>
      <c r="O165" s="75"/>
    </row>
    <row r="166" spans="1:15" s="88" customFormat="1" ht="13.2" x14ac:dyDescent="0.25">
      <c r="A166" s="71" t="str">
        <f>IF(B166&lt;&gt;"",MAX(A$7:A165)+1,"")</f>
        <v/>
      </c>
      <c r="B166" s="112"/>
      <c r="C166" s="113"/>
      <c r="D166" s="96"/>
      <c r="E166" s="75"/>
      <c r="F166" s="75"/>
      <c r="G166" s="75"/>
      <c r="H166" s="75"/>
      <c r="I166" s="75"/>
      <c r="J166" s="75"/>
      <c r="K166" s="75"/>
      <c r="L166" s="75"/>
      <c r="M166" s="75"/>
      <c r="O166" s="75"/>
    </row>
    <row r="167" spans="1:15" s="117" customFormat="1" ht="13.2" x14ac:dyDescent="0.25">
      <c r="A167" s="71">
        <f>IF(B167&lt;&gt;"",MAX(A$7:A166)+1,"")</f>
        <v>118</v>
      </c>
      <c r="B167" s="115" t="s">
        <v>164</v>
      </c>
      <c r="C167" s="113"/>
      <c r="D167" s="116"/>
      <c r="E167" s="116">
        <f t="shared" ref="E167:M167" si="75">MAX(E142+E165,0)</f>
        <v>0</v>
      </c>
      <c r="F167" s="116">
        <f t="shared" si="75"/>
        <v>0</v>
      </c>
      <c r="G167" s="116">
        <f t="shared" si="75"/>
        <v>0</v>
      </c>
      <c r="H167" s="116">
        <f t="shared" si="75"/>
        <v>8.8817841970012523E-16</v>
      </c>
      <c r="I167" s="116">
        <f t="shared" si="75"/>
        <v>0</v>
      </c>
      <c r="J167" s="116">
        <f t="shared" si="75"/>
        <v>0</v>
      </c>
      <c r="K167" s="116">
        <f t="shared" si="75"/>
        <v>0</v>
      </c>
      <c r="L167" s="116">
        <f t="shared" si="75"/>
        <v>0</v>
      </c>
      <c r="M167" s="116">
        <f t="shared" si="75"/>
        <v>0</v>
      </c>
      <c r="N167" s="116"/>
      <c r="O167" s="75"/>
    </row>
    <row r="168" spans="1:15" s="117" customFormat="1" ht="13.2" x14ac:dyDescent="0.25">
      <c r="A168" s="71" t="str">
        <f>IF(B168&lt;&gt;"",MAX(A$7:A167)+1,"")</f>
        <v/>
      </c>
      <c r="B168" s="115"/>
      <c r="C168" s="116"/>
      <c r="D168" s="116"/>
      <c r="E168" s="116"/>
      <c r="F168" s="116"/>
      <c r="G168" s="116"/>
      <c r="H168" s="116"/>
      <c r="I168" s="116"/>
      <c r="J168" s="116"/>
      <c r="K168" s="116"/>
      <c r="L168" s="116"/>
      <c r="M168" s="116"/>
      <c r="O168" s="75"/>
    </row>
    <row r="169" spans="1:15" s="117" customFormat="1" ht="13.2" x14ac:dyDescent="0.25">
      <c r="A169" s="71">
        <f>IF(B169&lt;&gt;"",MAX(A$7:A168)+1,"")</f>
        <v>119</v>
      </c>
      <c r="B169" s="118" t="s">
        <v>165</v>
      </c>
      <c r="C169" s="116"/>
      <c r="D169" s="116"/>
      <c r="E169" s="116"/>
      <c r="F169" s="116"/>
      <c r="G169" s="116"/>
      <c r="H169" s="116"/>
      <c r="I169" s="116"/>
      <c r="J169" s="116"/>
      <c r="K169" s="116"/>
      <c r="L169" s="116"/>
      <c r="M169" s="116"/>
      <c r="O169" s="75"/>
    </row>
    <row r="170" spans="1:15" s="117" customFormat="1" ht="13.2" x14ac:dyDescent="0.25">
      <c r="A170" s="71">
        <f>IF(B170&lt;&gt;"",MAX(A$7:A169)+1,"")</f>
        <v>120</v>
      </c>
      <c r="B170" s="115" t="s">
        <v>162</v>
      </c>
      <c r="C170" s="116"/>
      <c r="D170" s="116">
        <f>D195</f>
        <v>0.4</v>
      </c>
      <c r="E170" s="116">
        <f t="shared" ref="E170:M176" si="76">D195</f>
        <v>0.4</v>
      </c>
      <c r="F170" s="116">
        <f t="shared" si="76"/>
        <v>0.4</v>
      </c>
      <c r="G170" s="116">
        <f t="shared" si="76"/>
        <v>0.4</v>
      </c>
      <c r="H170" s="116">
        <f t="shared" si="76"/>
        <v>0.4</v>
      </c>
      <c r="I170" s="116">
        <f t="shared" si="76"/>
        <v>0.4</v>
      </c>
      <c r="J170" s="116">
        <f t="shared" si="76"/>
        <v>0.4</v>
      </c>
      <c r="K170" s="116">
        <f t="shared" si="76"/>
        <v>0.4</v>
      </c>
      <c r="L170" s="116">
        <f t="shared" si="76"/>
        <v>0.4</v>
      </c>
      <c r="M170" s="116">
        <v>0</v>
      </c>
      <c r="N170" s="116"/>
      <c r="O170" s="75"/>
    </row>
    <row r="171" spans="1:15" s="117" customFormat="1" ht="13.2" x14ac:dyDescent="0.25">
      <c r="A171" s="71">
        <f>IF(B171&lt;&gt;"",MAX(A$7:A170)+1,"")</f>
        <v>121</v>
      </c>
      <c r="B171" s="115" t="s">
        <v>151</v>
      </c>
      <c r="C171" s="116"/>
      <c r="D171" s="116">
        <f t="shared" ref="D171:D176" si="77">D196</f>
        <v>642.5</v>
      </c>
      <c r="E171" s="116">
        <f t="shared" si="76"/>
        <v>642.5</v>
      </c>
      <c r="F171" s="116">
        <f t="shared" si="76"/>
        <v>638.03800663482082</v>
      </c>
      <c r="G171" s="116">
        <f t="shared" si="76"/>
        <v>634.18541193816998</v>
      </c>
      <c r="H171" s="116">
        <f t="shared" si="76"/>
        <v>630.30818586812427</v>
      </c>
      <c r="I171" s="116">
        <f t="shared" si="76"/>
        <v>626.10536085522767</v>
      </c>
      <c r="J171" s="116">
        <f t="shared" si="76"/>
        <v>622.17545643020003</v>
      </c>
      <c r="K171" s="116">
        <f t="shared" si="76"/>
        <v>618.19541310530144</v>
      </c>
      <c r="L171" s="116">
        <f t="shared" si="76"/>
        <v>614.18971966238064</v>
      </c>
      <c r="M171" s="116">
        <f t="shared" si="76"/>
        <v>609.96152771820255</v>
      </c>
      <c r="N171" s="116"/>
      <c r="O171" s="75"/>
    </row>
    <row r="172" spans="1:15" s="117" customFormat="1" ht="13.2" x14ac:dyDescent="0.25">
      <c r="A172" s="71">
        <f>IF(B172&lt;&gt;"",MAX(A$7:A171)+1,"")</f>
        <v>122</v>
      </c>
      <c r="B172" s="115" t="s">
        <v>152</v>
      </c>
      <c r="C172" s="116"/>
      <c r="D172" s="116">
        <f t="shared" si="77"/>
        <v>20.5</v>
      </c>
      <c r="E172" s="116">
        <f t="shared" si="76"/>
        <v>20.5</v>
      </c>
      <c r="F172" s="116">
        <f t="shared" si="76"/>
        <v>20.5</v>
      </c>
      <c r="G172" s="116">
        <f t="shared" si="76"/>
        <v>20.5</v>
      </c>
      <c r="H172" s="116">
        <f t="shared" si="76"/>
        <v>20.5</v>
      </c>
      <c r="I172" s="116">
        <f t="shared" si="76"/>
        <v>20.5</v>
      </c>
      <c r="J172" s="116">
        <f t="shared" si="76"/>
        <v>20.5</v>
      </c>
      <c r="K172" s="116">
        <f t="shared" si="76"/>
        <v>20.5</v>
      </c>
      <c r="L172" s="116">
        <f t="shared" si="76"/>
        <v>20.5</v>
      </c>
      <c r="M172" s="116">
        <f t="shared" si="76"/>
        <v>20.5</v>
      </c>
      <c r="N172" s="116"/>
      <c r="O172" s="75"/>
    </row>
    <row r="173" spans="1:15" s="117" customFormat="1" ht="13.2" x14ac:dyDescent="0.25">
      <c r="A173" s="71">
        <f>IF(B173&lt;&gt;"",MAX(A$7:A172)+1,"")</f>
        <v>123</v>
      </c>
      <c r="B173" s="115" t="s">
        <v>153</v>
      </c>
      <c r="C173" s="116"/>
      <c r="D173" s="116">
        <f t="shared" si="77"/>
        <v>112.5</v>
      </c>
      <c r="E173" s="116">
        <f t="shared" si="76"/>
        <v>112.5</v>
      </c>
      <c r="F173" s="116">
        <f t="shared" si="76"/>
        <v>112.5</v>
      </c>
      <c r="G173" s="116">
        <f t="shared" si="76"/>
        <v>112.5</v>
      </c>
      <c r="H173" s="116">
        <f t="shared" si="76"/>
        <v>112.5</v>
      </c>
      <c r="I173" s="116">
        <f t="shared" si="76"/>
        <v>112.5</v>
      </c>
      <c r="J173" s="116">
        <f t="shared" si="76"/>
        <v>112.5</v>
      </c>
      <c r="K173" s="116">
        <f t="shared" si="76"/>
        <v>112.5</v>
      </c>
      <c r="L173" s="116">
        <f t="shared" si="76"/>
        <v>112.5</v>
      </c>
      <c r="M173" s="116">
        <f t="shared" si="76"/>
        <v>112.5</v>
      </c>
      <c r="N173" s="116"/>
      <c r="O173" s="75"/>
    </row>
    <row r="174" spans="1:15" s="117" customFormat="1" ht="13.2" x14ac:dyDescent="0.25">
      <c r="A174" s="71">
        <f>IF(B174&lt;&gt;"",MAX(A$7:A173)+1,"")</f>
        <v>124</v>
      </c>
      <c r="B174" s="115" t="s">
        <v>154</v>
      </c>
      <c r="C174" s="116"/>
      <c r="D174" s="116">
        <f t="shared" si="77"/>
        <v>142.5</v>
      </c>
      <c r="E174" s="116">
        <f t="shared" si="76"/>
        <v>142.5</v>
      </c>
      <c r="F174" s="116">
        <f t="shared" si="76"/>
        <v>142.5</v>
      </c>
      <c r="G174" s="116">
        <f t="shared" si="76"/>
        <v>142.5</v>
      </c>
      <c r="H174" s="116">
        <f t="shared" si="76"/>
        <v>142.5</v>
      </c>
      <c r="I174" s="116">
        <f t="shared" si="76"/>
        <v>142.5</v>
      </c>
      <c r="J174" s="116">
        <f t="shared" si="76"/>
        <v>142.5</v>
      </c>
      <c r="K174" s="116">
        <f t="shared" si="76"/>
        <v>142.5</v>
      </c>
      <c r="L174" s="116">
        <f t="shared" si="76"/>
        <v>142.5</v>
      </c>
      <c r="M174" s="116">
        <f t="shared" si="76"/>
        <v>142.5</v>
      </c>
      <c r="N174" s="116"/>
      <c r="O174" s="75"/>
    </row>
    <row r="175" spans="1:15" s="117" customFormat="1" ht="13.2" x14ac:dyDescent="0.25">
      <c r="A175" s="71">
        <f>IF(B175&lt;&gt;"",MAX(A$7:A174)+1,"")</f>
        <v>125</v>
      </c>
      <c r="B175" s="115" t="s">
        <v>155</v>
      </c>
      <c r="C175" s="116"/>
      <c r="D175" s="116">
        <f t="shared" si="77"/>
        <v>82</v>
      </c>
      <c r="E175" s="116">
        <f t="shared" si="76"/>
        <v>82</v>
      </c>
      <c r="F175" s="116">
        <f t="shared" si="76"/>
        <v>82</v>
      </c>
      <c r="G175" s="116">
        <f t="shared" si="76"/>
        <v>82</v>
      </c>
      <c r="H175" s="116">
        <f t="shared" si="76"/>
        <v>82</v>
      </c>
      <c r="I175" s="116">
        <f t="shared" si="76"/>
        <v>82</v>
      </c>
      <c r="J175" s="116">
        <f t="shared" si="76"/>
        <v>82</v>
      </c>
      <c r="K175" s="116">
        <f t="shared" si="76"/>
        <v>82</v>
      </c>
      <c r="L175" s="116">
        <f t="shared" si="76"/>
        <v>82</v>
      </c>
      <c r="M175" s="116">
        <f t="shared" si="76"/>
        <v>82</v>
      </c>
      <c r="N175" s="116"/>
      <c r="O175" s="75"/>
    </row>
    <row r="176" spans="1:15" s="117" customFormat="1" ht="13.2" x14ac:dyDescent="0.25">
      <c r="A176" s="71">
        <f>IF(B176&lt;&gt;"",MAX(A$7:A175)+1,"")</f>
        <v>126</v>
      </c>
      <c r="B176" s="115" t="s">
        <v>156</v>
      </c>
      <c r="C176" s="116"/>
      <c r="D176" s="116">
        <f t="shared" si="77"/>
        <v>50</v>
      </c>
      <c r="E176" s="116">
        <f t="shared" si="76"/>
        <v>50</v>
      </c>
      <c r="F176" s="116">
        <f t="shared" si="76"/>
        <v>50</v>
      </c>
      <c r="G176" s="116">
        <f t="shared" si="76"/>
        <v>50</v>
      </c>
      <c r="H176" s="116">
        <f t="shared" si="76"/>
        <v>50</v>
      </c>
      <c r="I176" s="116">
        <f t="shared" si="76"/>
        <v>50</v>
      </c>
      <c r="J176" s="116">
        <f t="shared" si="76"/>
        <v>50</v>
      </c>
      <c r="K176" s="116">
        <f t="shared" si="76"/>
        <v>50</v>
      </c>
      <c r="L176" s="116">
        <f t="shared" si="76"/>
        <v>50</v>
      </c>
      <c r="M176" s="116">
        <f t="shared" si="76"/>
        <v>50</v>
      </c>
      <c r="N176" s="116"/>
      <c r="O176" s="75"/>
    </row>
    <row r="177" spans="1:15" s="117" customFormat="1" x14ac:dyDescent="0.2">
      <c r="A177" s="71" t="str">
        <f>IF(B177&lt;&gt;"",MAX(A$7:A176)+1,"")</f>
        <v/>
      </c>
      <c r="B177" s="116"/>
      <c r="C177" s="116"/>
      <c r="D177" s="119">
        <f t="shared" ref="D177:M177" si="78">SUM(D170:D176)</f>
        <v>1050.4000000000001</v>
      </c>
      <c r="E177" s="119">
        <f t="shared" si="78"/>
        <v>1050.4000000000001</v>
      </c>
      <c r="F177" s="119">
        <f t="shared" si="78"/>
        <v>1045.9380066348208</v>
      </c>
      <c r="G177" s="119">
        <f t="shared" si="78"/>
        <v>1042.08541193817</v>
      </c>
      <c r="H177" s="119">
        <f t="shared" si="78"/>
        <v>1038.2081858681242</v>
      </c>
      <c r="I177" s="119">
        <f t="shared" si="78"/>
        <v>1034.0053608552275</v>
      </c>
      <c r="J177" s="119">
        <f t="shared" si="78"/>
        <v>1030.0754564302001</v>
      </c>
      <c r="K177" s="119">
        <f t="shared" si="78"/>
        <v>1026.0954131053013</v>
      </c>
      <c r="L177" s="119">
        <f t="shared" si="78"/>
        <v>1022.0897196623806</v>
      </c>
      <c r="M177" s="119">
        <f t="shared" si="78"/>
        <v>1017.4615277182025</v>
      </c>
      <c r="N177" s="119"/>
      <c r="O177" s="75"/>
    </row>
    <row r="178" spans="1:15" s="117" customFormat="1" x14ac:dyDescent="0.2">
      <c r="A178" s="71" t="str">
        <f>IF(B178&lt;&gt;"",MAX(A$7:A177)+1,"")</f>
        <v/>
      </c>
      <c r="B178" s="116"/>
      <c r="C178" s="116"/>
      <c r="D178" s="116"/>
      <c r="E178" s="116"/>
      <c r="F178" s="116"/>
      <c r="G178" s="116"/>
      <c r="H178" s="116"/>
      <c r="I178" s="116"/>
      <c r="J178" s="116"/>
      <c r="K178" s="116"/>
      <c r="L178" s="116"/>
      <c r="M178" s="116"/>
      <c r="O178" s="75"/>
    </row>
    <row r="179" spans="1:15" s="117" customFormat="1" ht="13.2" x14ac:dyDescent="0.25">
      <c r="A179" s="71">
        <f>IF(B179&lt;&gt;"",MAX(A$7:A178)+1,"")</f>
        <v>127</v>
      </c>
      <c r="B179" s="118" t="s">
        <v>166</v>
      </c>
      <c r="C179" s="116"/>
      <c r="D179" s="116"/>
      <c r="E179" s="116"/>
      <c r="F179" s="116"/>
      <c r="G179" s="116"/>
      <c r="H179" s="116"/>
      <c r="I179" s="116"/>
      <c r="J179" s="116"/>
      <c r="K179" s="116"/>
      <c r="L179" s="116"/>
      <c r="M179" s="116"/>
      <c r="O179" s="75"/>
    </row>
    <row r="180" spans="1:15" s="117" customFormat="1" ht="13.2" x14ac:dyDescent="0.25">
      <c r="A180" s="71">
        <f>IF(B180&lt;&gt;"",MAX(A$7:A179)+1,"")</f>
        <v>128</v>
      </c>
      <c r="B180" s="115" t="s">
        <v>151</v>
      </c>
      <c r="C180" s="116">
        <f t="shared" ref="C180:C185" si="79">SUM(D180:M180)</f>
        <v>0</v>
      </c>
      <c r="D180" s="116">
        <f t="shared" ref="D180:M184" si="80">IF(SUM(C$196:C$200)=0,0,-C196/SUM(C$196:C$200)*D$144)</f>
        <v>0</v>
      </c>
      <c r="E180" s="116">
        <f t="shared" si="80"/>
        <v>0</v>
      </c>
      <c r="F180" s="116">
        <f t="shared" si="80"/>
        <v>0</v>
      </c>
      <c r="G180" s="116">
        <f t="shared" si="80"/>
        <v>0</v>
      </c>
      <c r="H180" s="116">
        <f t="shared" si="80"/>
        <v>0</v>
      </c>
      <c r="I180" s="116">
        <f t="shared" si="80"/>
        <v>0</v>
      </c>
      <c r="J180" s="116">
        <f t="shared" si="80"/>
        <v>0</v>
      </c>
      <c r="K180" s="116">
        <f t="shared" si="80"/>
        <v>0</v>
      </c>
      <c r="L180" s="116">
        <f t="shared" si="80"/>
        <v>0</v>
      </c>
      <c r="M180" s="116">
        <f t="shared" si="80"/>
        <v>0</v>
      </c>
      <c r="N180" s="116"/>
      <c r="O180" s="75"/>
    </row>
    <row r="181" spans="1:15" s="117" customFormat="1" ht="13.2" x14ac:dyDescent="0.25">
      <c r="A181" s="71">
        <f>IF(B181&lt;&gt;"",MAX(A$7:A180)+1,"")</f>
        <v>129</v>
      </c>
      <c r="B181" s="115" t="s">
        <v>152</v>
      </c>
      <c r="C181" s="116">
        <f t="shared" si="79"/>
        <v>0</v>
      </c>
      <c r="D181" s="116">
        <f t="shared" si="80"/>
        <v>0</v>
      </c>
      <c r="E181" s="116">
        <f t="shared" si="80"/>
        <v>0</v>
      </c>
      <c r="F181" s="116">
        <f t="shared" si="80"/>
        <v>0</v>
      </c>
      <c r="G181" s="116">
        <f t="shared" si="80"/>
        <v>0</v>
      </c>
      <c r="H181" s="116">
        <f t="shared" si="80"/>
        <v>0</v>
      </c>
      <c r="I181" s="116">
        <f t="shared" si="80"/>
        <v>0</v>
      </c>
      <c r="J181" s="116">
        <f t="shared" si="80"/>
        <v>0</v>
      </c>
      <c r="K181" s="116">
        <f t="shared" si="80"/>
        <v>0</v>
      </c>
      <c r="L181" s="116">
        <f t="shared" si="80"/>
        <v>0</v>
      </c>
      <c r="M181" s="116">
        <f t="shared" si="80"/>
        <v>0</v>
      </c>
      <c r="N181" s="116"/>
      <c r="O181" s="75"/>
    </row>
    <row r="182" spans="1:15" s="117" customFormat="1" ht="13.2" x14ac:dyDescent="0.25">
      <c r="A182" s="71">
        <f>IF(B182&lt;&gt;"",MAX(A$7:A181)+1,"")</f>
        <v>130</v>
      </c>
      <c r="B182" s="115" t="s">
        <v>153</v>
      </c>
      <c r="C182" s="116">
        <f t="shared" si="79"/>
        <v>0</v>
      </c>
      <c r="D182" s="116">
        <f t="shared" si="80"/>
        <v>0</v>
      </c>
      <c r="E182" s="116">
        <f t="shared" si="80"/>
        <v>0</v>
      </c>
      <c r="F182" s="116">
        <f t="shared" si="80"/>
        <v>0</v>
      </c>
      <c r="G182" s="116">
        <f t="shared" si="80"/>
        <v>0</v>
      </c>
      <c r="H182" s="116">
        <f t="shared" si="80"/>
        <v>0</v>
      </c>
      <c r="I182" s="116">
        <f t="shared" si="80"/>
        <v>0</v>
      </c>
      <c r="J182" s="116">
        <f t="shared" si="80"/>
        <v>0</v>
      </c>
      <c r="K182" s="116">
        <f t="shared" si="80"/>
        <v>0</v>
      </c>
      <c r="L182" s="116">
        <f t="shared" si="80"/>
        <v>0</v>
      </c>
      <c r="M182" s="116">
        <f t="shared" si="80"/>
        <v>0</v>
      </c>
      <c r="N182" s="116"/>
      <c r="O182" s="75"/>
    </row>
    <row r="183" spans="1:15" s="117" customFormat="1" ht="13.2" x14ac:dyDescent="0.25">
      <c r="A183" s="71">
        <f>IF(B183&lt;&gt;"",MAX(A$7:A182)+1,"")</f>
        <v>131</v>
      </c>
      <c r="B183" s="115" t="s">
        <v>154</v>
      </c>
      <c r="C183" s="116">
        <f t="shared" si="79"/>
        <v>0</v>
      </c>
      <c r="D183" s="116">
        <f t="shared" si="80"/>
        <v>0</v>
      </c>
      <c r="E183" s="116">
        <f t="shared" si="80"/>
        <v>0</v>
      </c>
      <c r="F183" s="116">
        <f t="shared" si="80"/>
        <v>0</v>
      </c>
      <c r="G183" s="116">
        <f t="shared" si="80"/>
        <v>0</v>
      </c>
      <c r="H183" s="116">
        <f t="shared" si="80"/>
        <v>0</v>
      </c>
      <c r="I183" s="116">
        <f t="shared" si="80"/>
        <v>0</v>
      </c>
      <c r="J183" s="116">
        <f t="shared" si="80"/>
        <v>0</v>
      </c>
      <c r="K183" s="116">
        <f t="shared" si="80"/>
        <v>0</v>
      </c>
      <c r="L183" s="116">
        <f t="shared" si="80"/>
        <v>0</v>
      </c>
      <c r="M183" s="116">
        <f t="shared" si="80"/>
        <v>0</v>
      </c>
      <c r="N183" s="116"/>
      <c r="O183" s="75"/>
    </row>
    <row r="184" spans="1:15" s="117" customFormat="1" ht="13.2" x14ac:dyDescent="0.25">
      <c r="A184" s="71">
        <f>IF(B184&lt;&gt;"",MAX(A$7:A183)+1,"")</f>
        <v>132</v>
      </c>
      <c r="B184" s="115" t="s">
        <v>155</v>
      </c>
      <c r="C184" s="116">
        <f t="shared" si="79"/>
        <v>0</v>
      </c>
      <c r="D184" s="116">
        <f t="shared" si="80"/>
        <v>0</v>
      </c>
      <c r="E184" s="116">
        <f t="shared" si="80"/>
        <v>0</v>
      </c>
      <c r="F184" s="116">
        <f t="shared" si="80"/>
        <v>0</v>
      </c>
      <c r="G184" s="116">
        <f t="shared" si="80"/>
        <v>0</v>
      </c>
      <c r="H184" s="116">
        <f t="shared" si="80"/>
        <v>0</v>
      </c>
      <c r="I184" s="116">
        <f t="shared" si="80"/>
        <v>0</v>
      </c>
      <c r="J184" s="116">
        <f t="shared" si="80"/>
        <v>0</v>
      </c>
      <c r="K184" s="116">
        <f t="shared" si="80"/>
        <v>0</v>
      </c>
      <c r="L184" s="116">
        <f t="shared" si="80"/>
        <v>0</v>
      </c>
      <c r="M184" s="116">
        <f t="shared" si="80"/>
        <v>0</v>
      </c>
      <c r="N184" s="116"/>
      <c r="O184" s="75"/>
    </row>
    <row r="185" spans="1:15" s="117" customFormat="1" x14ac:dyDescent="0.2">
      <c r="A185" s="71" t="str">
        <f>IF(B185&lt;&gt;"",MAX(A$7:A184)+1,"")</f>
        <v/>
      </c>
      <c r="B185" s="116"/>
      <c r="C185" s="119">
        <f t="shared" si="79"/>
        <v>0</v>
      </c>
      <c r="D185" s="119">
        <f>SUM(D180:D184)</f>
        <v>0</v>
      </c>
      <c r="E185" s="119">
        <f t="shared" ref="E185:M185" si="81">SUM(E180:E184)</f>
        <v>0</v>
      </c>
      <c r="F185" s="119">
        <f t="shared" si="81"/>
        <v>0</v>
      </c>
      <c r="G185" s="119">
        <f t="shared" si="81"/>
        <v>0</v>
      </c>
      <c r="H185" s="119">
        <f t="shared" si="81"/>
        <v>0</v>
      </c>
      <c r="I185" s="119">
        <f t="shared" si="81"/>
        <v>0</v>
      </c>
      <c r="J185" s="119">
        <f t="shared" si="81"/>
        <v>0</v>
      </c>
      <c r="K185" s="119">
        <f t="shared" si="81"/>
        <v>0</v>
      </c>
      <c r="L185" s="119">
        <f t="shared" si="81"/>
        <v>0</v>
      </c>
      <c r="M185" s="119">
        <f t="shared" si="81"/>
        <v>0</v>
      </c>
      <c r="N185" s="119"/>
      <c r="O185" s="75"/>
    </row>
    <row r="186" spans="1:15" s="117" customFormat="1" ht="13.2" x14ac:dyDescent="0.25">
      <c r="A186" s="71">
        <f>IF(B186&lt;&gt;"",MAX(A$7:A185)+1,"")</f>
        <v>133</v>
      </c>
      <c r="B186" s="118" t="s">
        <v>167</v>
      </c>
      <c r="C186" s="116"/>
      <c r="D186" s="116"/>
      <c r="E186" s="116"/>
      <c r="F186" s="116"/>
      <c r="G186" s="116"/>
      <c r="H186" s="116"/>
      <c r="I186" s="116"/>
      <c r="J186" s="116"/>
      <c r="K186" s="116"/>
      <c r="L186" s="116"/>
      <c r="M186" s="116"/>
      <c r="N186" s="116"/>
      <c r="O186" s="75"/>
    </row>
    <row r="187" spans="1:15" s="117" customFormat="1" ht="13.2" x14ac:dyDescent="0.25">
      <c r="A187" s="71">
        <f>IF(B187&lt;&gt;"",MAX(A$7:A186)+1,"")</f>
        <v>134</v>
      </c>
      <c r="B187" s="115" t="s">
        <v>151</v>
      </c>
      <c r="C187" s="116">
        <f t="shared" ref="C187:C193" si="82">SUM(D187:M187)</f>
        <v>-36.597919995650045</v>
      </c>
      <c r="D187" s="116">
        <f t="shared" ref="D187:M187" si="83">-MIN(D$143,D171+D180)</f>
        <v>0</v>
      </c>
      <c r="E187" s="116">
        <f t="shared" si="83"/>
        <v>-4.4619933651791683</v>
      </c>
      <c r="F187" s="116">
        <f t="shared" si="83"/>
        <v>-3.8525946966508191</v>
      </c>
      <c r="G187" s="116">
        <f t="shared" si="83"/>
        <v>-3.8772260700456673</v>
      </c>
      <c r="H187" s="116">
        <f t="shared" si="83"/>
        <v>-4.2028250128965823</v>
      </c>
      <c r="I187" s="116">
        <f t="shared" si="83"/>
        <v>-3.9299044250276931</v>
      </c>
      <c r="J187" s="116">
        <f t="shared" si="83"/>
        <v>-3.9800433248986296</v>
      </c>
      <c r="K187" s="116">
        <f t="shared" si="83"/>
        <v>-4.0056934429208528</v>
      </c>
      <c r="L187" s="116">
        <f t="shared" si="83"/>
        <v>-4.2281919441781408</v>
      </c>
      <c r="M187" s="116">
        <f t="shared" si="83"/>
        <v>-4.0594477138524896</v>
      </c>
      <c r="N187" s="116"/>
      <c r="O187" s="75"/>
    </row>
    <row r="188" spans="1:15" s="117" customFormat="1" ht="13.2" x14ac:dyDescent="0.25">
      <c r="A188" s="71">
        <f>IF(B188&lt;&gt;"",MAX(A$7:A187)+1,"")</f>
        <v>135</v>
      </c>
      <c r="B188" s="115" t="s">
        <v>152</v>
      </c>
      <c r="C188" s="116">
        <f t="shared" si="82"/>
        <v>0</v>
      </c>
      <c r="D188" s="116">
        <f>-MIN(D$143+SUM(D$187:D187),D172+D181)</f>
        <v>0</v>
      </c>
      <c r="E188" s="116">
        <f>-MIN(E$143+SUM(E$187:E187),E172+E181)</f>
        <v>0</v>
      </c>
      <c r="F188" s="116">
        <f>-MIN(F$143+SUM(F$187:F187),F172+F181)</f>
        <v>0</v>
      </c>
      <c r="G188" s="116">
        <f>-MIN(G$143+SUM(G$187:G187),G172+G181)</f>
        <v>0</v>
      </c>
      <c r="H188" s="116">
        <f>-MIN(H$143+SUM(H$187:H187),H172+H181)</f>
        <v>0</v>
      </c>
      <c r="I188" s="116">
        <f>-MIN(I$143+SUM(I$187:I187),I172+I181)</f>
        <v>0</v>
      </c>
      <c r="J188" s="116">
        <f>-MIN(J$143+SUM(J$187:J187),J172+J181)</f>
        <v>0</v>
      </c>
      <c r="K188" s="116">
        <f>-MIN(K$143+SUM(K$187:K187),K172+K181)</f>
        <v>0</v>
      </c>
      <c r="L188" s="116">
        <f>-MIN(L$143+SUM(L$187:L187),L172+L181)</f>
        <v>0</v>
      </c>
      <c r="M188" s="116">
        <f>-MIN(M$143+SUM(M$187:M187),M172+M181)</f>
        <v>0</v>
      </c>
      <c r="N188" s="116"/>
      <c r="O188" s="75"/>
    </row>
    <row r="189" spans="1:15" s="117" customFormat="1" ht="13.2" x14ac:dyDescent="0.25">
      <c r="A189" s="71">
        <f>IF(B189&lt;&gt;"",MAX(A$7:A188)+1,"")</f>
        <v>136</v>
      </c>
      <c r="B189" s="115" t="s">
        <v>153</v>
      </c>
      <c r="C189" s="116">
        <f t="shared" si="82"/>
        <v>0</v>
      </c>
      <c r="D189" s="116">
        <f>-MIN(D$143+SUM(D$187:D188),D173+D182)</f>
        <v>0</v>
      </c>
      <c r="E189" s="116">
        <f>-MIN(E$143+SUM(E$187:E188),E173+E182)</f>
        <v>0</v>
      </c>
      <c r="F189" s="116">
        <f>-MIN(F$143+SUM(F$187:F188),F173+F182)</f>
        <v>0</v>
      </c>
      <c r="G189" s="116">
        <f>-MIN(G$143+SUM(G$187:G188),G173+G182)</f>
        <v>0</v>
      </c>
      <c r="H189" s="116">
        <f>-MIN(H$143+SUM(H$187:H188),H173+H182)</f>
        <v>0</v>
      </c>
      <c r="I189" s="116">
        <f>-MIN(I$143+SUM(I$187:I188),I173+I182)</f>
        <v>0</v>
      </c>
      <c r="J189" s="116">
        <f>-MIN(J$143+SUM(J$187:J188),J173+J182)</f>
        <v>0</v>
      </c>
      <c r="K189" s="116">
        <f>-MIN(K$143+SUM(K$187:K188),K173+K182)</f>
        <v>0</v>
      </c>
      <c r="L189" s="116">
        <f>-MIN(L$143+SUM(L$187:L188),L173+L182)</f>
        <v>0</v>
      </c>
      <c r="M189" s="116">
        <f>-MIN(M$143+SUM(M$187:M188),M173+M182)</f>
        <v>0</v>
      </c>
      <c r="N189" s="116"/>
      <c r="O189" s="75"/>
    </row>
    <row r="190" spans="1:15" s="117" customFormat="1" ht="13.2" x14ac:dyDescent="0.25">
      <c r="A190" s="71">
        <f>IF(B190&lt;&gt;"",MAX(A$7:A189)+1,"")</f>
        <v>137</v>
      </c>
      <c r="B190" s="115" t="s">
        <v>154</v>
      </c>
      <c r="C190" s="116">
        <f t="shared" si="82"/>
        <v>0</v>
      </c>
      <c r="D190" s="116">
        <f>-MIN(D$143+SUM(D$187:D189),D174+D183)</f>
        <v>0</v>
      </c>
      <c r="E190" s="116">
        <f>-MIN(E$143+SUM(E$187:E189),E174+E183)</f>
        <v>0</v>
      </c>
      <c r="F190" s="116">
        <f>-MIN(F$143+SUM(F$187:F189),F174+F183)</f>
        <v>0</v>
      </c>
      <c r="G190" s="116">
        <f>-MIN(G$143+SUM(G$187:G189),G174+G183)</f>
        <v>0</v>
      </c>
      <c r="H190" s="116">
        <f>-MIN(H$143+SUM(H$187:H189),H174+H183)</f>
        <v>0</v>
      </c>
      <c r="I190" s="116">
        <f>-MIN(I$143+SUM(I$187:I189),I174+I183)</f>
        <v>0</v>
      </c>
      <c r="J190" s="116">
        <f>-MIN(J$143+SUM(J$187:J189),J174+J183)</f>
        <v>0</v>
      </c>
      <c r="K190" s="116">
        <f>-MIN(K$143+SUM(K$187:K189),K174+K183)</f>
        <v>0</v>
      </c>
      <c r="L190" s="116">
        <f>-MIN(L$143+SUM(L$187:L189),L174+L183)</f>
        <v>0</v>
      </c>
      <c r="M190" s="116">
        <f>-MIN(M$143+SUM(M$187:M189),M174+M183)</f>
        <v>0</v>
      </c>
      <c r="N190" s="116"/>
      <c r="O190" s="75"/>
    </row>
    <row r="191" spans="1:15" s="117" customFormat="1" ht="13.2" x14ac:dyDescent="0.25">
      <c r="A191" s="71">
        <f>IF(B191&lt;&gt;"",MAX(A$7:A190)+1,"")</f>
        <v>138</v>
      </c>
      <c r="B191" s="115" t="s">
        <v>155</v>
      </c>
      <c r="C191" s="116">
        <f t="shared" si="82"/>
        <v>0</v>
      </c>
      <c r="D191" s="116">
        <f>-MIN(D$143+SUM(D$187:D190),D175+D184)</f>
        <v>0</v>
      </c>
      <c r="E191" s="116">
        <f>-MIN(E$143+SUM(E$187:E190),E175+E184)</f>
        <v>0</v>
      </c>
      <c r="F191" s="116">
        <f>-MIN(F$143+SUM(F$187:F190),F175+F184)</f>
        <v>0</v>
      </c>
      <c r="G191" s="116">
        <f>-MIN(G$143+SUM(G$187:G190),G175+G184)</f>
        <v>0</v>
      </c>
      <c r="H191" s="116">
        <f>-MIN(H$143+SUM(H$187:H190),H175+H184)</f>
        <v>0</v>
      </c>
      <c r="I191" s="116">
        <f>-MIN(I$143+SUM(I$187:I190),I175+I184)</f>
        <v>0</v>
      </c>
      <c r="J191" s="116">
        <f>-MIN(J$143+SUM(J$187:J190),J175+J184)</f>
        <v>0</v>
      </c>
      <c r="K191" s="116">
        <f>-MIN(K$143+SUM(K$187:K190),K175+K184)</f>
        <v>0</v>
      </c>
      <c r="L191" s="116">
        <f>-MIN(L$143+SUM(L$187:L190),L175+L184)</f>
        <v>0</v>
      </c>
      <c r="M191" s="116">
        <f>-MIN(M$143+SUM(M$187:M190),M175+M184)</f>
        <v>0</v>
      </c>
      <c r="N191" s="116"/>
      <c r="O191" s="75"/>
    </row>
    <row r="192" spans="1:15" s="117" customFormat="1" ht="13.2" x14ac:dyDescent="0.25">
      <c r="A192" s="71">
        <f>IF(B192&lt;&gt;"",MAX(A$7:A191)+1,"")</f>
        <v>139</v>
      </c>
      <c r="B192" s="115" t="s">
        <v>156</v>
      </c>
      <c r="C192" s="116">
        <f t="shared" si="82"/>
        <v>0</v>
      </c>
      <c r="D192" s="116">
        <f>-MIN(D$143+SUM(D$187:D191),D176)</f>
        <v>0</v>
      </c>
      <c r="E192" s="116">
        <f>-MIN(E$143+SUM(E$187:E191),E176)</f>
        <v>0</v>
      </c>
      <c r="F192" s="116">
        <f>-MIN(F$143+SUM(F$187:F191),F176)</f>
        <v>0</v>
      </c>
      <c r="G192" s="116">
        <f>-MIN(G$143+SUM(G$187:G191),G176)</f>
        <v>0</v>
      </c>
      <c r="H192" s="116">
        <f>-MIN(H$143+SUM(H$187:H191),H176)</f>
        <v>0</v>
      </c>
      <c r="I192" s="116">
        <f>-MIN(I$143+SUM(I$187:I191),I176)</f>
        <v>0</v>
      </c>
      <c r="J192" s="116">
        <f>-MIN(J$143+SUM(J$187:J191),J176)</f>
        <v>0</v>
      </c>
      <c r="K192" s="116">
        <f>-MIN(K$143+SUM(K$187:K191),K176)</f>
        <v>0</v>
      </c>
      <c r="L192" s="116">
        <f>-MIN(L$143+SUM(L$187:L191),L176)</f>
        <v>0</v>
      </c>
      <c r="M192" s="116">
        <f>-MIN(M$143+SUM(M$187:M191),M176)</f>
        <v>0</v>
      </c>
      <c r="N192" s="116"/>
      <c r="O192" s="75"/>
    </row>
    <row r="193" spans="1:15" s="117" customFormat="1" x14ac:dyDescent="0.2">
      <c r="A193" s="71" t="str">
        <f>IF(B193&lt;&gt;"",MAX(A$7:A192)+1,"")</f>
        <v/>
      </c>
      <c r="B193" s="116"/>
      <c r="C193" s="119">
        <f t="shared" si="82"/>
        <v>-36.597919995650045</v>
      </c>
      <c r="D193" s="119">
        <f t="shared" ref="D193:M193" si="84">SUM(D187:D192)</f>
        <v>0</v>
      </c>
      <c r="E193" s="119">
        <f t="shared" si="84"/>
        <v>-4.4619933651791683</v>
      </c>
      <c r="F193" s="119">
        <f t="shared" si="84"/>
        <v>-3.8525946966508191</v>
      </c>
      <c r="G193" s="119">
        <f t="shared" si="84"/>
        <v>-3.8772260700456673</v>
      </c>
      <c r="H193" s="119">
        <f t="shared" si="84"/>
        <v>-4.2028250128965823</v>
      </c>
      <c r="I193" s="119">
        <f t="shared" si="84"/>
        <v>-3.9299044250276931</v>
      </c>
      <c r="J193" s="119">
        <f t="shared" si="84"/>
        <v>-3.9800433248986296</v>
      </c>
      <c r="K193" s="119">
        <f t="shared" si="84"/>
        <v>-4.0056934429208528</v>
      </c>
      <c r="L193" s="119">
        <f t="shared" si="84"/>
        <v>-4.2281919441781408</v>
      </c>
      <c r="M193" s="119">
        <f t="shared" si="84"/>
        <v>-4.0594477138524896</v>
      </c>
      <c r="N193" s="119"/>
      <c r="O193" s="75"/>
    </row>
    <row r="194" spans="1:15" s="117" customFormat="1" ht="13.2" x14ac:dyDescent="0.25">
      <c r="A194" s="71">
        <f>IF(B194&lt;&gt;"",MAX(A$7:A193)+1,"")</f>
        <v>140</v>
      </c>
      <c r="B194" s="118" t="s">
        <v>168</v>
      </c>
      <c r="C194" s="116"/>
      <c r="D194" s="116"/>
      <c r="E194" s="116"/>
      <c r="F194" s="116"/>
      <c r="G194" s="116"/>
      <c r="H194" s="116"/>
      <c r="I194" s="116"/>
      <c r="J194" s="116"/>
      <c r="K194" s="116"/>
      <c r="L194" s="116"/>
      <c r="M194" s="116"/>
      <c r="N194" s="116"/>
      <c r="O194" s="75"/>
    </row>
    <row r="195" spans="1:15" s="117" customFormat="1" ht="13.2" x14ac:dyDescent="0.25">
      <c r="A195" s="71">
        <f>IF(B195&lt;&gt;"",MAX(A$7:A194)+1,"")</f>
        <v>141</v>
      </c>
      <c r="B195" s="115" t="s">
        <v>162</v>
      </c>
      <c r="C195" s="116"/>
      <c r="D195" s="116">
        <v>0.4</v>
      </c>
      <c r="E195" s="116">
        <f t="shared" ref="E195:M195" si="85">E170</f>
        <v>0.4</v>
      </c>
      <c r="F195" s="116">
        <f t="shared" si="85"/>
        <v>0.4</v>
      </c>
      <c r="G195" s="116">
        <f t="shared" si="85"/>
        <v>0.4</v>
      </c>
      <c r="H195" s="116">
        <f t="shared" si="85"/>
        <v>0.4</v>
      </c>
      <c r="I195" s="116">
        <f t="shared" si="85"/>
        <v>0.4</v>
      </c>
      <c r="J195" s="116">
        <f t="shared" si="85"/>
        <v>0.4</v>
      </c>
      <c r="K195" s="116">
        <f t="shared" si="85"/>
        <v>0.4</v>
      </c>
      <c r="L195" s="116">
        <f t="shared" si="85"/>
        <v>0.4</v>
      </c>
      <c r="M195" s="116">
        <f t="shared" si="85"/>
        <v>0</v>
      </c>
      <c r="N195" s="116"/>
      <c r="O195" s="75"/>
    </row>
    <row r="196" spans="1:15" s="117" customFormat="1" ht="13.2" x14ac:dyDescent="0.25">
      <c r="A196" s="71">
        <f>IF(B196&lt;&gt;"",MAX(A$7:A195)+1,"")</f>
        <v>142</v>
      </c>
      <c r="B196" s="115" t="s">
        <v>151</v>
      </c>
      <c r="C196" s="116"/>
      <c r="D196" s="116">
        <v>642.5</v>
      </c>
      <c r="E196" s="116">
        <f t="shared" ref="E196:M200" si="86">E171+E180+E187</f>
        <v>638.03800663482082</v>
      </c>
      <c r="F196" s="116">
        <f t="shared" si="86"/>
        <v>634.18541193816998</v>
      </c>
      <c r="G196" s="116">
        <f t="shared" si="86"/>
        <v>630.30818586812427</v>
      </c>
      <c r="H196" s="116">
        <f t="shared" si="86"/>
        <v>626.10536085522767</v>
      </c>
      <c r="I196" s="116">
        <f t="shared" si="86"/>
        <v>622.17545643020003</v>
      </c>
      <c r="J196" s="116">
        <f t="shared" si="86"/>
        <v>618.19541310530144</v>
      </c>
      <c r="K196" s="116">
        <f t="shared" si="86"/>
        <v>614.18971966238064</v>
      </c>
      <c r="L196" s="116">
        <f t="shared" si="86"/>
        <v>609.96152771820255</v>
      </c>
      <c r="M196" s="116">
        <f t="shared" si="86"/>
        <v>605.90208000435007</v>
      </c>
      <c r="N196" s="116"/>
      <c r="O196" s="75"/>
    </row>
    <row r="197" spans="1:15" s="117" customFormat="1" ht="13.2" x14ac:dyDescent="0.25">
      <c r="A197" s="71">
        <f>IF(B197&lt;&gt;"",MAX(A$7:A196)+1,"")</f>
        <v>143</v>
      </c>
      <c r="B197" s="115" t="s">
        <v>152</v>
      </c>
      <c r="C197" s="116"/>
      <c r="D197" s="116">
        <v>20.5</v>
      </c>
      <c r="E197" s="116">
        <f t="shared" si="86"/>
        <v>20.5</v>
      </c>
      <c r="F197" s="116">
        <f t="shared" si="86"/>
        <v>20.5</v>
      </c>
      <c r="G197" s="116">
        <f t="shared" si="86"/>
        <v>20.5</v>
      </c>
      <c r="H197" s="116">
        <f t="shared" si="86"/>
        <v>20.5</v>
      </c>
      <c r="I197" s="116">
        <f t="shared" si="86"/>
        <v>20.5</v>
      </c>
      <c r="J197" s="116">
        <f t="shared" si="86"/>
        <v>20.5</v>
      </c>
      <c r="K197" s="116">
        <f t="shared" si="86"/>
        <v>20.5</v>
      </c>
      <c r="L197" s="116">
        <f t="shared" si="86"/>
        <v>20.5</v>
      </c>
      <c r="M197" s="116">
        <f t="shared" si="86"/>
        <v>20.5</v>
      </c>
      <c r="N197" s="116"/>
      <c r="O197" s="75"/>
    </row>
    <row r="198" spans="1:15" s="117" customFormat="1" ht="13.2" x14ac:dyDescent="0.25">
      <c r="A198" s="71">
        <f>IF(B198&lt;&gt;"",MAX(A$7:A197)+1,"")</f>
        <v>144</v>
      </c>
      <c r="B198" s="115" t="s">
        <v>153</v>
      </c>
      <c r="C198" s="116"/>
      <c r="D198" s="116">
        <v>112.5</v>
      </c>
      <c r="E198" s="116">
        <f t="shared" si="86"/>
        <v>112.5</v>
      </c>
      <c r="F198" s="116">
        <f t="shared" si="86"/>
        <v>112.5</v>
      </c>
      <c r="G198" s="116">
        <f t="shared" si="86"/>
        <v>112.5</v>
      </c>
      <c r="H198" s="116">
        <f t="shared" si="86"/>
        <v>112.5</v>
      </c>
      <c r="I198" s="116">
        <f t="shared" si="86"/>
        <v>112.5</v>
      </c>
      <c r="J198" s="116">
        <f t="shared" si="86"/>
        <v>112.5</v>
      </c>
      <c r="K198" s="116">
        <f t="shared" si="86"/>
        <v>112.5</v>
      </c>
      <c r="L198" s="116">
        <f t="shared" si="86"/>
        <v>112.5</v>
      </c>
      <c r="M198" s="116">
        <f t="shared" si="86"/>
        <v>112.5</v>
      </c>
      <c r="N198" s="116"/>
      <c r="O198" s="75"/>
    </row>
    <row r="199" spans="1:15" s="117" customFormat="1" ht="13.2" x14ac:dyDescent="0.25">
      <c r="A199" s="71">
        <f>IF(B199&lt;&gt;"",MAX(A$7:A198)+1,"")</f>
        <v>145</v>
      </c>
      <c r="B199" s="115" t="s">
        <v>154</v>
      </c>
      <c r="C199" s="116"/>
      <c r="D199" s="116">
        <v>142.5</v>
      </c>
      <c r="E199" s="116">
        <f t="shared" si="86"/>
        <v>142.5</v>
      </c>
      <c r="F199" s="116">
        <f t="shared" si="86"/>
        <v>142.5</v>
      </c>
      <c r="G199" s="116">
        <f t="shared" si="86"/>
        <v>142.5</v>
      </c>
      <c r="H199" s="116">
        <f t="shared" si="86"/>
        <v>142.5</v>
      </c>
      <c r="I199" s="116">
        <f t="shared" si="86"/>
        <v>142.5</v>
      </c>
      <c r="J199" s="116">
        <f t="shared" si="86"/>
        <v>142.5</v>
      </c>
      <c r="K199" s="116">
        <f t="shared" si="86"/>
        <v>142.5</v>
      </c>
      <c r="L199" s="116">
        <f t="shared" si="86"/>
        <v>142.5</v>
      </c>
      <c r="M199" s="116">
        <f t="shared" si="86"/>
        <v>142.5</v>
      </c>
      <c r="N199" s="116"/>
      <c r="O199" s="75"/>
    </row>
    <row r="200" spans="1:15" s="117" customFormat="1" ht="13.2" x14ac:dyDescent="0.25">
      <c r="A200" s="71">
        <f>IF(B200&lt;&gt;"",MAX(A$7:A199)+1,"")</f>
        <v>146</v>
      </c>
      <c r="B200" s="115" t="s">
        <v>155</v>
      </c>
      <c r="C200" s="116"/>
      <c r="D200" s="116">
        <v>82</v>
      </c>
      <c r="E200" s="116">
        <f t="shared" si="86"/>
        <v>82</v>
      </c>
      <c r="F200" s="116">
        <f t="shared" si="86"/>
        <v>82</v>
      </c>
      <c r="G200" s="116">
        <f t="shared" si="86"/>
        <v>82</v>
      </c>
      <c r="H200" s="116">
        <f t="shared" si="86"/>
        <v>82</v>
      </c>
      <c r="I200" s="116">
        <f t="shared" si="86"/>
        <v>82</v>
      </c>
      <c r="J200" s="116">
        <f t="shared" si="86"/>
        <v>82</v>
      </c>
      <c r="K200" s="116">
        <f t="shared" si="86"/>
        <v>82</v>
      </c>
      <c r="L200" s="116">
        <f t="shared" si="86"/>
        <v>82</v>
      </c>
      <c r="M200" s="116">
        <f t="shared" si="86"/>
        <v>82</v>
      </c>
      <c r="N200" s="116"/>
      <c r="O200" s="75"/>
    </row>
    <row r="201" spans="1:15" s="117" customFormat="1" ht="13.2" x14ac:dyDescent="0.25">
      <c r="A201" s="71">
        <f>IF(B201&lt;&gt;"",MAX(A$7:A200)+1,"")</f>
        <v>147</v>
      </c>
      <c r="B201" s="115" t="s">
        <v>156</v>
      </c>
      <c r="C201" s="116"/>
      <c r="D201" s="116">
        <v>50</v>
      </c>
      <c r="E201" s="116">
        <f t="shared" ref="E201:M201" si="87">E176+E192</f>
        <v>50</v>
      </c>
      <c r="F201" s="116">
        <f t="shared" si="87"/>
        <v>50</v>
      </c>
      <c r="G201" s="116">
        <f t="shared" si="87"/>
        <v>50</v>
      </c>
      <c r="H201" s="116">
        <f t="shared" si="87"/>
        <v>50</v>
      </c>
      <c r="I201" s="116">
        <f t="shared" si="87"/>
        <v>50</v>
      </c>
      <c r="J201" s="116">
        <f t="shared" si="87"/>
        <v>50</v>
      </c>
      <c r="K201" s="116">
        <f t="shared" si="87"/>
        <v>50</v>
      </c>
      <c r="L201" s="116">
        <f t="shared" si="87"/>
        <v>50</v>
      </c>
      <c r="M201" s="116">
        <f t="shared" si="87"/>
        <v>50</v>
      </c>
      <c r="N201" s="116"/>
      <c r="O201" s="75"/>
    </row>
    <row r="202" spans="1:15" s="117" customFormat="1" x14ac:dyDescent="0.2">
      <c r="A202" s="71" t="str">
        <f>IF(B202&lt;&gt;"",MAX(A$7:A201)+1,"")</f>
        <v/>
      </c>
      <c r="B202" s="116"/>
      <c r="C202" s="116"/>
      <c r="D202" s="119">
        <f>SUM(D195:D201)</f>
        <v>1050.4000000000001</v>
      </c>
      <c r="E202" s="119">
        <f t="shared" ref="E202:M202" si="88">SUM(E196:E201)</f>
        <v>1045.5380066348207</v>
      </c>
      <c r="F202" s="119">
        <f t="shared" si="88"/>
        <v>1041.6854119381701</v>
      </c>
      <c r="G202" s="119">
        <f t="shared" si="88"/>
        <v>1037.8081858681244</v>
      </c>
      <c r="H202" s="119">
        <f t="shared" si="88"/>
        <v>1033.6053608552277</v>
      </c>
      <c r="I202" s="119">
        <f t="shared" si="88"/>
        <v>1029.6754564302</v>
      </c>
      <c r="J202" s="119">
        <f t="shared" si="88"/>
        <v>1025.6954131053014</v>
      </c>
      <c r="K202" s="119">
        <f t="shared" si="88"/>
        <v>1021.6897196623806</v>
      </c>
      <c r="L202" s="119">
        <f t="shared" si="88"/>
        <v>1017.4615277182025</v>
      </c>
      <c r="M202" s="119">
        <f t="shared" si="88"/>
        <v>1013.4020800043501</v>
      </c>
      <c r="N202" s="119"/>
      <c r="O202" s="75"/>
    </row>
    <row r="203" spans="1:15" s="117" customFormat="1" x14ac:dyDescent="0.2">
      <c r="A203" s="71" t="str">
        <f>IF(B203&lt;&gt;"",MAX(A$7:A202)+1,"")</f>
        <v/>
      </c>
      <c r="B203" s="116"/>
      <c r="C203" s="116"/>
      <c r="D203" s="116"/>
      <c r="E203" s="116"/>
      <c r="F203" s="116"/>
      <c r="G203" s="116"/>
      <c r="H203" s="116"/>
      <c r="I203" s="116"/>
      <c r="J203" s="116"/>
      <c r="K203" s="116"/>
      <c r="L203" s="116"/>
      <c r="M203" s="116"/>
      <c r="O203" s="75"/>
    </row>
    <row r="204" spans="1:15" s="117" customFormat="1" ht="13.2" x14ac:dyDescent="0.25">
      <c r="A204" s="71">
        <f>IF(B204&lt;&gt;"",MAX(A$7:A203)+1,"")</f>
        <v>148</v>
      </c>
      <c r="B204" s="118" t="s">
        <v>169</v>
      </c>
      <c r="C204" s="116"/>
      <c r="D204" s="89"/>
      <c r="E204" s="116"/>
      <c r="F204" s="116"/>
      <c r="G204" s="116"/>
      <c r="H204" s="116"/>
      <c r="I204" s="116"/>
      <c r="J204" s="116"/>
      <c r="K204" s="116"/>
      <c r="L204" s="116"/>
      <c r="M204" s="116"/>
      <c r="N204" s="116"/>
      <c r="O204" s="75"/>
    </row>
    <row r="205" spans="1:15" s="117" customFormat="1" ht="13.2" x14ac:dyDescent="0.25">
      <c r="A205" s="71">
        <f>IF(B205&lt;&gt;"",MAX(A$7:A204)+1,"")</f>
        <v>149</v>
      </c>
      <c r="B205" s="115" t="s">
        <v>151</v>
      </c>
      <c r="C205" s="89"/>
      <c r="D205" s="89">
        <v>0.4418844566712517</v>
      </c>
      <c r="E205" s="89">
        <v>0.4418844566712517</v>
      </c>
      <c r="F205" s="89">
        <v>0.43577246493394384</v>
      </c>
      <c r="G205" s="89">
        <v>0.43267164839695704</v>
      </c>
      <c r="H205" s="89">
        <v>0.42892383712065629</v>
      </c>
      <c r="I205" s="89">
        <v>0.42535195701503309</v>
      </c>
      <c r="J205" s="89">
        <v>0.42131314145120785</v>
      </c>
      <c r="K205" s="89">
        <v>0.41723925216912916</v>
      </c>
      <c r="L205" s="89">
        <v>0.4125716231537731</v>
      </c>
      <c r="M205" s="89">
        <v>0.40799547312039269</v>
      </c>
      <c r="N205" s="89"/>
      <c r="O205" s="75"/>
    </row>
    <row r="206" spans="1:15" s="117" customFormat="1" ht="13.2" x14ac:dyDescent="0.25">
      <c r="A206" s="71">
        <f>IF(B206&lt;&gt;"",MAX(A$7:A205)+1,"")</f>
        <v>150</v>
      </c>
      <c r="B206" s="115" t="s">
        <v>152</v>
      </c>
      <c r="C206" s="89"/>
      <c r="D206" s="89">
        <v>0.45598349381017883</v>
      </c>
      <c r="E206" s="89">
        <v>0.45598349381017883</v>
      </c>
      <c r="F206" s="89">
        <v>0.44987150207287097</v>
      </c>
      <c r="G206" s="89">
        <v>0.44677068553588412</v>
      </c>
      <c r="H206" s="89">
        <v>0.44302287425958342</v>
      </c>
      <c r="I206" s="89">
        <v>0.43945099415396022</v>
      </c>
      <c r="J206" s="89">
        <v>0.43541217859013492</v>
      </c>
      <c r="K206" s="89">
        <v>0.43133828930805623</v>
      </c>
      <c r="L206" s="89">
        <v>0.42667066029270018</v>
      </c>
      <c r="M206" s="89">
        <v>0.42209451025931982</v>
      </c>
      <c r="N206" s="89"/>
      <c r="O206" s="75"/>
    </row>
    <row r="207" spans="1:15" s="117" customFormat="1" ht="13.2" x14ac:dyDescent="0.25">
      <c r="A207" s="71">
        <f>IF(B207&lt;&gt;"",MAX(A$7:A206)+1,"")</f>
        <v>151</v>
      </c>
      <c r="B207" s="115" t="s">
        <v>153</v>
      </c>
      <c r="C207" s="89"/>
      <c r="D207" s="89">
        <v>0.53335625859697389</v>
      </c>
      <c r="E207" s="89">
        <v>0.53335625859697389</v>
      </c>
      <c r="F207" s="89">
        <v>0.52724426685966597</v>
      </c>
      <c r="G207" s="89">
        <v>0.52414345032267917</v>
      </c>
      <c r="H207" s="89">
        <v>0.52039563904637842</v>
      </c>
      <c r="I207" s="89">
        <v>0.51682375894075527</v>
      </c>
      <c r="J207" s="89">
        <v>0.51278494337693004</v>
      </c>
      <c r="K207" s="89">
        <v>0.50871105409485129</v>
      </c>
      <c r="L207" s="89">
        <v>0.50404342507949518</v>
      </c>
      <c r="M207" s="89">
        <v>0.49946727504611488</v>
      </c>
      <c r="N207" s="89"/>
      <c r="O207" s="75"/>
    </row>
    <row r="208" spans="1:15" s="117" customFormat="1" ht="13.2" x14ac:dyDescent="0.25">
      <c r="A208" s="71">
        <f>IF(B208&lt;&gt;"",MAX(A$7:A207)+1,"")</f>
        <v>152</v>
      </c>
      <c r="B208" s="115" t="s">
        <v>154</v>
      </c>
      <c r="C208" s="89"/>
      <c r="D208" s="89">
        <v>0.63136176066024763</v>
      </c>
      <c r="E208" s="89">
        <v>0.63136176066024763</v>
      </c>
      <c r="F208" s="89">
        <v>0.62524976892293971</v>
      </c>
      <c r="G208" s="89">
        <v>0.62214895238595291</v>
      </c>
      <c r="H208" s="89">
        <v>0.61840114110965216</v>
      </c>
      <c r="I208" s="89">
        <v>0.61482926100402902</v>
      </c>
      <c r="J208" s="89">
        <v>0.61079044544020367</v>
      </c>
      <c r="K208" s="89">
        <v>0.60671655615812503</v>
      </c>
      <c r="L208" s="89">
        <v>0.60204892714276892</v>
      </c>
      <c r="M208" s="89">
        <v>0.59747277710938862</v>
      </c>
      <c r="N208" s="89"/>
      <c r="O208" s="75"/>
    </row>
    <row r="209" spans="1:15" s="117" customFormat="1" ht="13.2" x14ac:dyDescent="0.25">
      <c r="A209" s="71">
        <f>IF(B209&lt;&gt;"",MAX(A$7:A208)+1,"")</f>
        <v>153</v>
      </c>
      <c r="B209" s="115" t="s">
        <v>155</v>
      </c>
      <c r="C209" s="89"/>
      <c r="D209" s="89">
        <v>0.68775790921595603</v>
      </c>
      <c r="E209" s="80">
        <v>0.68775790921595603</v>
      </c>
      <c r="F209" s="89">
        <v>0.68164591747864811</v>
      </c>
      <c r="G209" s="89">
        <v>0.67854510094166132</v>
      </c>
      <c r="H209" s="89">
        <v>0.67479728966536057</v>
      </c>
      <c r="I209" s="89">
        <v>0.67122540955973731</v>
      </c>
      <c r="J209" s="89">
        <v>0.66718659399591207</v>
      </c>
      <c r="K209" s="89">
        <v>0.66311270471383343</v>
      </c>
      <c r="L209" s="89">
        <v>0.65844507569847732</v>
      </c>
      <c r="M209" s="89">
        <v>0.65386892566509702</v>
      </c>
      <c r="N209" s="89"/>
      <c r="O209" s="75"/>
    </row>
    <row r="210" spans="1:15" s="117" customFormat="1" ht="13.2" x14ac:dyDescent="0.25">
      <c r="A210" s="71">
        <f>IF(B210&lt;&gt;"",MAX(A$7:A209)+1,"")</f>
        <v>154</v>
      </c>
      <c r="B210" s="115" t="s">
        <v>156</v>
      </c>
      <c r="C210" s="89"/>
      <c r="D210" s="89">
        <v>0.72214580467675382</v>
      </c>
      <c r="E210" s="89">
        <v>0.72214580467675382</v>
      </c>
      <c r="F210" s="89">
        <v>0.71603381293944579</v>
      </c>
      <c r="G210" s="89">
        <v>0.71293299640245911</v>
      </c>
      <c r="H210" s="89">
        <v>0.70918518512615847</v>
      </c>
      <c r="I210" s="89">
        <v>0.70561330502053521</v>
      </c>
      <c r="J210" s="89">
        <v>0.70157448945670986</v>
      </c>
      <c r="K210" s="89">
        <v>0.69750060017463122</v>
      </c>
      <c r="L210" s="89">
        <v>0.69283297115927511</v>
      </c>
      <c r="M210" s="89">
        <v>0.68825682112589481</v>
      </c>
      <c r="N210" s="89"/>
      <c r="O210" s="75"/>
    </row>
    <row r="211" spans="1:15" s="117" customFormat="1" x14ac:dyDescent="0.2">
      <c r="A211" s="71" t="str">
        <f>IF(B211&lt;&gt;"",MAX(A$7:A210)+1,"")</f>
        <v/>
      </c>
      <c r="B211" s="116"/>
      <c r="C211" s="116"/>
      <c r="D211" s="116"/>
      <c r="E211" s="116"/>
      <c r="F211" s="116"/>
      <c r="G211" s="116"/>
      <c r="H211" s="116"/>
      <c r="I211" s="116"/>
      <c r="J211" s="116"/>
      <c r="K211" s="116"/>
      <c r="L211" s="116"/>
      <c r="M211" s="116"/>
      <c r="N211" s="116"/>
      <c r="O211" s="75"/>
    </row>
    <row r="212" spans="1:15" s="117" customFormat="1" ht="13.2" x14ac:dyDescent="0.25">
      <c r="A212" s="71">
        <f>IF(B212&lt;&gt;"",MAX(A$7:A211)+1,"")</f>
        <v>155</v>
      </c>
      <c r="B212" s="118" t="s">
        <v>170</v>
      </c>
      <c r="C212" s="116"/>
      <c r="D212" s="89"/>
      <c r="E212" s="116"/>
      <c r="F212" s="116"/>
      <c r="G212" s="116"/>
      <c r="H212" s="116"/>
      <c r="I212" s="116"/>
      <c r="J212" s="116"/>
      <c r="K212" s="116"/>
      <c r="L212" s="116"/>
      <c r="M212" s="116"/>
      <c r="N212" s="116"/>
      <c r="O212" s="75"/>
    </row>
    <row r="213" spans="1:15" s="117" customFormat="1" ht="13.2" x14ac:dyDescent="0.25">
      <c r="A213" s="71">
        <f>IF(B213&lt;&gt;"",MAX(A$7:A212)+1,"")</f>
        <v>156</v>
      </c>
      <c r="B213" s="115" t="s">
        <v>151</v>
      </c>
      <c r="C213" s="89"/>
      <c r="D213" s="89">
        <f>SUM(D$196:D196)/D$20</f>
        <v>0.4418844566712517</v>
      </c>
      <c r="E213" s="89">
        <f>IF(E$24=0,0,SUM(E$196:E196)/E$24)</f>
        <v>0.4388156854434806</v>
      </c>
      <c r="F213" s="89">
        <f>IF(F$24=0,0,SUM(F$196:F196)/F$24)</f>
        <v>0.43616603296985557</v>
      </c>
      <c r="G213" s="89">
        <f>IF(G$24=0,0,SUM(G$196:G196)/G$24)</f>
        <v>0.43349944007436331</v>
      </c>
      <c r="H213" s="89">
        <f>IF(H$24=0,0,SUM(H$196:H196)/H$24)</f>
        <v>0.43060891393069306</v>
      </c>
      <c r="I213" s="89">
        <f>IF(I$24=0,0,SUM(I$196:I196)/I$24)</f>
        <v>0.42790609107991751</v>
      </c>
      <c r="J213" s="89">
        <f>IF(J$24=0,0,SUM(J$196:J196)/J$24)</f>
        <v>0.42516878480419629</v>
      </c>
      <c r="K213" s="89">
        <f>IF(K$24=0,0,SUM(K$196:K196)/K$24)</f>
        <v>0.42241383745693306</v>
      </c>
      <c r="L213" s="89">
        <f>IF(L$24=0,0,SUM(L$196:L196)/L$24)</f>
        <v>0.41950586500564135</v>
      </c>
      <c r="M213" s="89">
        <f>IF(M$24=0,0,SUM(M$196:M196)/M$24)</f>
        <v>0.41671394773339071</v>
      </c>
      <c r="N213" s="89"/>
      <c r="O213" s="75"/>
    </row>
    <row r="214" spans="1:15" s="117" customFormat="1" ht="13.2" x14ac:dyDescent="0.25">
      <c r="A214" s="71">
        <f>IF(B214&lt;&gt;"",MAX(A$7:A213)+1,"")</f>
        <v>157</v>
      </c>
      <c r="B214" s="115" t="s">
        <v>152</v>
      </c>
      <c r="C214" s="89"/>
      <c r="D214" s="89">
        <f>SUM(D$196:D197)/D$20</f>
        <v>0.45598349381017883</v>
      </c>
      <c r="E214" s="89">
        <f>IF(E$24=0,0,SUM(E$196:E197)/E$24)</f>
        <v>0.45291472258240772</v>
      </c>
      <c r="F214" s="89">
        <f>IF(F$24=0,0,SUM(F$196:F197)/F$24)</f>
        <v>0.45026507010878264</v>
      </c>
      <c r="G214" s="89">
        <f>IF(G$24=0,0,SUM(G$196:G197)/G$24)</f>
        <v>0.44759847721329044</v>
      </c>
      <c r="H214" s="89">
        <f>IF(H$24=0,0,SUM(H$196:H197)/H$24)</f>
        <v>0.44470795106962013</v>
      </c>
      <c r="I214" s="89">
        <f>IF(I$24=0,0,SUM(I$196:I197)/I$24)</f>
        <v>0.44200512821884458</v>
      </c>
      <c r="J214" s="89">
        <f>IF(J$24=0,0,SUM(J$196:J197)/J$24)</f>
        <v>0.43926782194312342</v>
      </c>
      <c r="K214" s="89">
        <f>IF(K$24=0,0,SUM(K$196:K197)/K$24)</f>
        <v>0.43651287459586013</v>
      </c>
      <c r="L214" s="89">
        <f>IF(L$24=0,0,SUM(L$196:L197)/L$24)</f>
        <v>0.43360490214456848</v>
      </c>
      <c r="M214" s="89">
        <f>IF(M$24=0,0,SUM(M$196:M197)/M$24)</f>
        <v>0.43081298487231778</v>
      </c>
      <c r="N214" s="89"/>
      <c r="O214" s="75"/>
    </row>
    <row r="215" spans="1:15" s="117" customFormat="1" ht="13.2" x14ac:dyDescent="0.25">
      <c r="A215" s="71">
        <f>IF(B215&lt;&gt;"",MAX(A$7:A214)+1,"")</f>
        <v>158</v>
      </c>
      <c r="B215" s="115" t="s">
        <v>153</v>
      </c>
      <c r="C215" s="89"/>
      <c r="D215" s="89">
        <f>SUM(D$196:D198)/D$20</f>
        <v>0.53335625859697389</v>
      </c>
      <c r="E215" s="89">
        <f>IF(E$24=0,0,SUM(E$196:E198)/E$24)</f>
        <v>0.53028748736920273</v>
      </c>
      <c r="F215" s="89">
        <f>IF(F$24=0,0,SUM(F$196:F198)/F$24)</f>
        <v>0.5276378348955777</v>
      </c>
      <c r="G215" s="89">
        <f>IF(G$24=0,0,SUM(G$196:G198)/G$24)</f>
        <v>0.52497124200008549</v>
      </c>
      <c r="H215" s="89">
        <f>IF(H$24=0,0,SUM(H$196:H198)/H$24)</f>
        <v>0.52208071585641513</v>
      </c>
      <c r="I215" s="89">
        <f>IF(I$24=0,0,SUM(I$196:I198)/I$24)</f>
        <v>0.51937789300563963</v>
      </c>
      <c r="J215" s="89">
        <f>IF(J$24=0,0,SUM(J$196:J198)/J$24)</f>
        <v>0.51664058672991842</v>
      </c>
      <c r="K215" s="89">
        <f>IF(K$24=0,0,SUM(K$196:K198)/K$24)</f>
        <v>0.51388563938265519</v>
      </c>
      <c r="L215" s="89">
        <f>IF(L$24=0,0,SUM(L$196:L198)/L$24)</f>
        <v>0.51097766693136348</v>
      </c>
      <c r="M215" s="89">
        <f>IF(M$24=0,0,SUM(M$196:M198)/M$24)</f>
        <v>0.50818574965911278</v>
      </c>
      <c r="N215" s="89"/>
      <c r="O215" s="75"/>
    </row>
    <row r="216" spans="1:15" s="117" customFormat="1" ht="13.2" x14ac:dyDescent="0.25">
      <c r="A216" s="71">
        <f>IF(B216&lt;&gt;"",MAX(A$7:A215)+1,"")</f>
        <v>159</v>
      </c>
      <c r="B216" s="115" t="s">
        <v>154</v>
      </c>
      <c r="C216" s="89"/>
      <c r="D216" s="89">
        <f>SUM(D$196:D199)/D$20</f>
        <v>0.63136176066024763</v>
      </c>
      <c r="E216" s="89">
        <f>IF(E$24=0,0,SUM(E$196:E199)/E$24)</f>
        <v>0.62829298943247647</v>
      </c>
      <c r="F216" s="89">
        <f>IF(F$24=0,0,SUM(F$196:F199)/F$24)</f>
        <v>0.62564333695885144</v>
      </c>
      <c r="G216" s="89">
        <f>IF(G$24=0,0,SUM(G$196:G199)/G$24)</f>
        <v>0.62297674406335923</v>
      </c>
      <c r="H216" s="89">
        <f>IF(H$24=0,0,SUM(H$196:H199)/H$24)</f>
        <v>0.62008621791968888</v>
      </c>
      <c r="I216" s="89">
        <f>IF(I$24=0,0,SUM(I$196:I199)/I$24)</f>
        <v>0.61738339506891338</v>
      </c>
      <c r="J216" s="89">
        <f>IF(J$24=0,0,SUM(J$196:J199)/J$24)</f>
        <v>0.61464608879319216</v>
      </c>
      <c r="K216" s="89">
        <f>IF(K$24=0,0,SUM(K$196:K199)/K$24)</f>
        <v>0.61189114144592893</v>
      </c>
      <c r="L216" s="89">
        <f>IF(L$24=0,0,SUM(L$196:L199)/L$24)</f>
        <v>0.60898316899463723</v>
      </c>
      <c r="M216" s="89">
        <f>IF(M$24=0,0,SUM(M$196:M199)/M$24)</f>
        <v>0.60619125172238653</v>
      </c>
      <c r="N216" s="89"/>
      <c r="O216" s="75"/>
    </row>
    <row r="217" spans="1:15" s="117" customFormat="1" ht="13.2" x14ac:dyDescent="0.25">
      <c r="A217" s="71">
        <f>IF(B217&lt;&gt;"",MAX(A$7:A216)+1,"")</f>
        <v>160</v>
      </c>
      <c r="B217" s="115" t="s">
        <v>155</v>
      </c>
      <c r="C217" s="89"/>
      <c r="D217" s="89">
        <f>SUM(D$196:D200)/D$20</f>
        <v>0.68775790921595603</v>
      </c>
      <c r="E217" s="86">
        <f>IF(E$24=0,0,SUM(E$196:E200)/E$24)</f>
        <v>0.68468913798818487</v>
      </c>
      <c r="F217" s="89">
        <f>IF(F$24=0,0,SUM(F$196:F200)/F$24)</f>
        <v>0.68203948551455984</v>
      </c>
      <c r="G217" s="89">
        <f>IF(G$24=0,0,SUM(G$196:G200)/G$24)</f>
        <v>0.67937289261906764</v>
      </c>
      <c r="H217" s="89">
        <f>IF(H$24=0,0,SUM(H$196:H200)/H$24)</f>
        <v>0.67648236647539728</v>
      </c>
      <c r="I217" s="89">
        <f>IF(I$24=0,0,SUM(I$196:I200)/I$24)</f>
        <v>0.67377954362462178</v>
      </c>
      <c r="J217" s="89">
        <f>IF(J$24=0,0,SUM(J$196:J200)/J$24)</f>
        <v>0.67104223734890056</v>
      </c>
      <c r="K217" s="89">
        <f>IF(K$24=0,0,SUM(K$196:K200)/K$24)</f>
        <v>0.66828729000163734</v>
      </c>
      <c r="L217" s="89">
        <f>IF(L$24=0,0,SUM(L$196:L200)/L$24)</f>
        <v>0.66537931755034563</v>
      </c>
      <c r="M217" s="89">
        <f>IF(M$24=0,0,SUM(M$196:M200)/M$24)</f>
        <v>0.66258740027809493</v>
      </c>
      <c r="N217" s="89"/>
      <c r="O217" s="75"/>
    </row>
    <row r="218" spans="1:15" s="117" customFormat="1" ht="13.2" x14ac:dyDescent="0.25">
      <c r="A218" s="71">
        <f>IF(B218&lt;&gt;"",MAX(A$7:A217)+1,"")</f>
        <v>161</v>
      </c>
      <c r="B218" s="115" t="s">
        <v>156</v>
      </c>
      <c r="C218" s="89"/>
      <c r="D218" s="89">
        <f>SUM(D$196:D201)/D$20</f>
        <v>0.72214580467675382</v>
      </c>
      <c r="E218" s="89">
        <f>IF(E$24=0,0,SUM(E$196:E201)/E$24)</f>
        <v>0.71907703344898255</v>
      </c>
      <c r="F218" s="89">
        <f>IF(F$24=0,0,SUM(F$196:F201)/F$24)</f>
        <v>0.71642738097535774</v>
      </c>
      <c r="G218" s="89">
        <f>IF(G$24=0,0,SUM(G$196:G201)/G$24)</f>
        <v>0.71376078807986543</v>
      </c>
      <c r="H218" s="89">
        <f>IF(H$24=0,0,SUM(H$196:H201)/H$24)</f>
        <v>0.71087026193619507</v>
      </c>
      <c r="I218" s="89">
        <f>IF(I$24=0,0,SUM(I$196:I201)/I$24)</f>
        <v>0.70816743908541957</v>
      </c>
      <c r="J218" s="89">
        <f>IF(J$24=0,0,SUM(J$196:J201)/J$24)</f>
        <v>0.70543013280969835</v>
      </c>
      <c r="K218" s="89">
        <f>IF(K$24=0,0,SUM(K$196:K201)/K$24)</f>
        <v>0.70267518546243513</v>
      </c>
      <c r="L218" s="89">
        <f>IF(L$24=0,0,SUM(L$196:L201)/L$24)</f>
        <v>0.69976721301114342</v>
      </c>
      <c r="M218" s="89">
        <f>IF(M$24=0,0,SUM(M$196:M201)/M$24)</f>
        <v>0.69697529573889272</v>
      </c>
      <c r="N218" s="89"/>
      <c r="O218" s="75"/>
    </row>
    <row r="219" spans="1:15" s="117" customFormat="1" x14ac:dyDescent="0.2">
      <c r="A219" s="71" t="str">
        <f>IF(B219&lt;&gt;"",MAX(A$7:A218)+1,"")</f>
        <v/>
      </c>
      <c r="B219" s="116"/>
      <c r="C219" s="116"/>
      <c r="D219" s="116"/>
      <c r="E219" s="116"/>
      <c r="F219" s="116"/>
      <c r="G219" s="116"/>
      <c r="H219" s="116"/>
      <c r="I219" s="116"/>
      <c r="J219" s="116"/>
      <c r="K219" s="116"/>
      <c r="L219" s="116"/>
      <c r="M219" s="116"/>
      <c r="N219" s="116"/>
      <c r="O219" s="75"/>
    </row>
    <row r="220" spans="1:15" s="117" customFormat="1" ht="13.2" x14ac:dyDescent="0.25">
      <c r="A220" s="71">
        <f>IF(B220&lt;&gt;"",MAX(A$7:A219)+1,"")</f>
        <v>162</v>
      </c>
      <c r="B220" s="118" t="s">
        <v>171</v>
      </c>
      <c r="C220" s="116"/>
      <c r="D220" s="89"/>
      <c r="E220" s="116"/>
      <c r="F220" s="116"/>
      <c r="G220" s="116"/>
      <c r="H220" s="116"/>
      <c r="I220" s="116"/>
      <c r="J220" s="116"/>
      <c r="K220" s="116"/>
      <c r="L220" s="116"/>
      <c r="M220" s="116"/>
      <c r="N220" s="116"/>
      <c r="O220" s="75"/>
    </row>
    <row r="221" spans="1:15" s="117" customFormat="1" ht="13.2" x14ac:dyDescent="0.25">
      <c r="A221" s="71">
        <f>IF(B221&lt;&gt;"",MAX(A$7:A220)+1,"")</f>
        <v>163</v>
      </c>
      <c r="B221" s="115" t="s">
        <v>151</v>
      </c>
      <c r="C221" s="89"/>
      <c r="D221" s="89">
        <f>IF(D$24=0,0,MAX(0,(SUM(D196:D$196)-D$37)/D$24))</f>
        <v>0.4418844566712517</v>
      </c>
      <c r="E221" s="89">
        <f>IF(E$24=0,0,MAX(0,(SUM(E196:E$196)-E$37)/E$24))</f>
        <v>0.4388156854434806</v>
      </c>
      <c r="F221" s="89">
        <f>IF(F$24=0,0,MAX(0,(SUM(F196:F$196)-F$37)/F$24))</f>
        <v>0.43616603296985557</v>
      </c>
      <c r="G221" s="89">
        <f>IF(G$24=0,0,MAX(0,(SUM(G196:G$196)-G$37)/G$24))</f>
        <v>0.43349944007436331</v>
      </c>
      <c r="H221" s="89">
        <f>IF(H$24=0,0,MAX(0,(SUM(H196:H$196)-H$37)/H$24))</f>
        <v>0.43060891393069306</v>
      </c>
      <c r="I221" s="89">
        <f>IF(I$24=0,0,MAX(0,(SUM(I196:I$196)-I$37)/I$24))</f>
        <v>0.42790609107991751</v>
      </c>
      <c r="J221" s="89">
        <f>IF(J$24=0,0,MAX(0,(SUM(J196:J$196)-J$37)/J$24))</f>
        <v>0.42516878480419629</v>
      </c>
      <c r="K221" s="89">
        <f>IF(K$24=0,0,MAX(0,(SUM(K196:K$196)-K$37)/K$24))</f>
        <v>0.42241383745693306</v>
      </c>
      <c r="L221" s="89">
        <f>IF(L$24=0,0,MAX(0,(SUM(L196:L$196)-L$37)/L$24))</f>
        <v>0.41950586500564135</v>
      </c>
      <c r="M221" s="89">
        <f>IF(M$24=0,0,MAX(0,(SUM(M196:M$196)-M$37)/M$24))</f>
        <v>0.41671394773339071</v>
      </c>
      <c r="N221" s="89"/>
      <c r="O221" s="75"/>
    </row>
    <row r="222" spans="1:15" s="117" customFormat="1" ht="13.2" x14ac:dyDescent="0.25">
      <c r="A222" s="71">
        <f>IF(B222&lt;&gt;"",MAX(A$7:A221)+1,"")</f>
        <v>164</v>
      </c>
      <c r="B222" s="115" t="s">
        <v>152</v>
      </c>
      <c r="C222" s="89"/>
      <c r="D222" s="89">
        <f>IF(D$24=0,0,MAX(0,(SUM(D$196:D197)-D$37)/D$24))</f>
        <v>0.45598349381017883</v>
      </c>
      <c r="E222" s="89">
        <f>IF(E$24=0,0,MAX(0,(SUM(E$196:E197)-E$37)/E$24))</f>
        <v>0.45291472258240772</v>
      </c>
      <c r="F222" s="89">
        <f>IF(F$24=0,0,MAX(0,(SUM(F$196:F197)-F$37)/F$24))</f>
        <v>0.45026507010878264</v>
      </c>
      <c r="G222" s="89">
        <f>IF(G$24=0,0,MAX(0,(SUM(G$196:G197)-G$37)/G$24))</f>
        <v>0.44759847721329044</v>
      </c>
      <c r="H222" s="89">
        <f>IF(H$24=0,0,MAX(0,(SUM(H$196:H197)-H$37)/H$24))</f>
        <v>0.44470795106962013</v>
      </c>
      <c r="I222" s="89">
        <f>IF(I$24=0,0,MAX(0,(SUM(I$196:I197)-I$37)/I$24))</f>
        <v>0.44200512821884458</v>
      </c>
      <c r="J222" s="89">
        <f>IF(J$24=0,0,MAX(0,(SUM(J$196:J197)-J$37)/J$24))</f>
        <v>0.43926782194312342</v>
      </c>
      <c r="K222" s="89">
        <f>IF(K$24=0,0,MAX(0,(SUM(K$196:K197)-K$37)/K$24))</f>
        <v>0.43651287459586013</v>
      </c>
      <c r="L222" s="89">
        <f>IF(L$24=0,0,MAX(0,(SUM(L$196:L197)-L$37)/L$24))</f>
        <v>0.43360490214456848</v>
      </c>
      <c r="M222" s="89">
        <f>IF(M$24=0,0,MAX(0,(SUM(M$196:M197)-M$37)/M$24))</f>
        <v>0.43081298487231778</v>
      </c>
      <c r="N222" s="89"/>
      <c r="O222" s="75"/>
    </row>
    <row r="223" spans="1:15" s="117" customFormat="1" ht="13.2" x14ac:dyDescent="0.25">
      <c r="A223" s="71">
        <f>IF(B223&lt;&gt;"",MAX(A$7:A222)+1,"")</f>
        <v>165</v>
      </c>
      <c r="B223" s="115" t="s">
        <v>153</v>
      </c>
      <c r="C223" s="89"/>
      <c r="D223" s="89">
        <f>IF(D$24=0,0,MAX(0,(SUM(D$196:D198)-D$37)/D$24))</f>
        <v>0.53335625859697389</v>
      </c>
      <c r="E223" s="89">
        <f>IF(E$24=0,0,MAX(0,(SUM(E$196:E198)-E$37)/E$24))</f>
        <v>0.53028748736920273</v>
      </c>
      <c r="F223" s="89">
        <f>IF(F$24=0,0,MAX(0,(SUM(F$196:F198)-F$37)/F$24))</f>
        <v>0.5276378348955777</v>
      </c>
      <c r="G223" s="89">
        <f>IF(G$24=0,0,MAX(0,(SUM(G$196:G198)-G$37)/G$24))</f>
        <v>0.52497124200008549</v>
      </c>
      <c r="H223" s="89">
        <f>IF(H$24=0,0,MAX(0,(SUM(H$196:H198)-H$37)/H$24))</f>
        <v>0.52208071585641513</v>
      </c>
      <c r="I223" s="89">
        <f>IF(I$24=0,0,MAX(0,(SUM(I$196:I198)-I$37)/I$24))</f>
        <v>0.51937789300563963</v>
      </c>
      <c r="J223" s="89">
        <f>IF(J$24=0,0,MAX(0,(SUM(J$196:J198)-J$37)/J$24))</f>
        <v>0.51664058672991842</v>
      </c>
      <c r="K223" s="89">
        <f>IF(K$24=0,0,MAX(0,(SUM(K$196:K198)-K$37)/K$24))</f>
        <v>0.51388563938265519</v>
      </c>
      <c r="L223" s="89">
        <f>IF(L$24=0,0,MAX(0,(SUM(L$196:L198)-L$37)/L$24))</f>
        <v>0.51097766693136348</v>
      </c>
      <c r="M223" s="89">
        <f>IF(M$24=0,0,MAX(0,(SUM(M$196:M198)-M$37)/M$24))</f>
        <v>0.50818574965911278</v>
      </c>
      <c r="N223" s="89"/>
      <c r="O223" s="75"/>
    </row>
    <row r="224" spans="1:15" s="117" customFormat="1" ht="13.2" x14ac:dyDescent="0.25">
      <c r="A224" s="71">
        <f>IF(B224&lt;&gt;"",MAX(A$7:A223)+1,"")</f>
        <v>166</v>
      </c>
      <c r="B224" s="115" t="s">
        <v>154</v>
      </c>
      <c r="C224" s="89"/>
      <c r="D224" s="89">
        <f>IF(D$24=0,0,MAX(0,(SUM(D$196:D199)-D$37)/D$24))</f>
        <v>0.63136176066024763</v>
      </c>
      <c r="E224" s="89">
        <f>IF(E$24=0,0,MAX(0,(SUM(E$196:E199)-E$37)/E$24))</f>
        <v>0.62829298943247647</v>
      </c>
      <c r="F224" s="89">
        <f>IF(F$24=0,0,MAX(0,(SUM(F$196:F199)-F$37)/F$24))</f>
        <v>0.62564333695885144</v>
      </c>
      <c r="G224" s="89">
        <f>IF(G$24=0,0,MAX(0,(SUM(G$196:G199)-G$37)/G$24))</f>
        <v>0.62297674406335923</v>
      </c>
      <c r="H224" s="89">
        <f>IF(H$24=0,0,MAX(0,(SUM(H$196:H199)-H$37)/H$24))</f>
        <v>0.62008621791968888</v>
      </c>
      <c r="I224" s="89">
        <f>IF(I$24=0,0,MAX(0,(SUM(I$196:I199)-I$37)/I$24))</f>
        <v>0.61738339506891338</v>
      </c>
      <c r="J224" s="89">
        <f>IF(J$24=0,0,MAX(0,(SUM(J$196:J199)-J$37)/J$24))</f>
        <v>0.61464608879319216</v>
      </c>
      <c r="K224" s="89">
        <f>IF(K$24=0,0,MAX(0,(SUM(K$196:K199)-K$37)/K$24))</f>
        <v>0.61189114144592893</v>
      </c>
      <c r="L224" s="89">
        <f>IF(L$24=0,0,MAX(0,(SUM(L$196:L199)-L$37)/L$24))</f>
        <v>0.60898316899463723</v>
      </c>
      <c r="M224" s="89">
        <f>IF(M$24=0,0,MAX(0,(SUM(M$196:M199)-M$37)/M$24))</f>
        <v>0.60619125172238653</v>
      </c>
      <c r="N224" s="89"/>
      <c r="O224" s="75"/>
    </row>
    <row r="225" spans="1:15" s="117" customFormat="1" ht="13.2" x14ac:dyDescent="0.25">
      <c r="A225" s="71">
        <f>IF(B225&lt;&gt;"",MAX(A$7:A224)+1,"")</f>
        <v>167</v>
      </c>
      <c r="B225" s="115" t="s">
        <v>155</v>
      </c>
      <c r="C225" s="89"/>
      <c r="D225" s="89">
        <f>IF(D$24=0,0,MAX(0,(SUM(D$196:D200)-D$37)/D$24))</f>
        <v>0.68775790921595603</v>
      </c>
      <c r="E225" s="89">
        <f>IF(E$24=0,0,MAX(0,(SUM(E$196:E200)-E$37)/E$24))</f>
        <v>0.68468913798818487</v>
      </c>
      <c r="F225" s="89">
        <f>IF(F$24=0,0,MAX(0,(SUM(F$196:F200)-F$37)/F$24))</f>
        <v>0.68203948551455984</v>
      </c>
      <c r="G225" s="89">
        <f>IF(G$24=0,0,MAX(0,(SUM(G$196:G200)-G$37)/G$24))</f>
        <v>0.67937289261906764</v>
      </c>
      <c r="H225" s="89">
        <f>IF(H$24=0,0,MAX(0,(SUM(H$196:H200)-H$37)/H$24))</f>
        <v>0.67648236647539728</v>
      </c>
      <c r="I225" s="89">
        <f>IF(I$24=0,0,MAX(0,(SUM(I$196:I200)-I$37)/I$24))</f>
        <v>0.67377954362462178</v>
      </c>
      <c r="J225" s="89">
        <f>IF(J$24=0,0,MAX(0,(SUM(J$196:J200)-J$37)/J$24))</f>
        <v>0.67104223734890056</v>
      </c>
      <c r="K225" s="89">
        <f>IF(K$24=0,0,MAX(0,(SUM(K$196:K200)-K$37)/K$24))</f>
        <v>0.66828729000163734</v>
      </c>
      <c r="L225" s="89">
        <f>IF(L$24=0,0,MAX(0,(SUM(L$196:L200)-L$37)/L$24))</f>
        <v>0.66537931755034563</v>
      </c>
      <c r="M225" s="89">
        <f>IF(M$24=0,0,MAX(0,(SUM(M$196:M200)-M$37)/M$24))</f>
        <v>0.66258740027809493</v>
      </c>
      <c r="N225" s="89"/>
      <c r="O225" s="75"/>
    </row>
    <row r="226" spans="1:15" s="117" customFormat="1" ht="13.2" x14ac:dyDescent="0.25">
      <c r="A226" s="71">
        <f>IF(B226&lt;&gt;"",MAX(A$7:A225)+1,"")</f>
        <v>168</v>
      </c>
      <c r="B226" s="115" t="s">
        <v>156</v>
      </c>
      <c r="C226" s="89"/>
      <c r="D226" s="89">
        <f>IF(D$24=0,0,MAX(0,(SUM(D$196:D201)-D$37)/D$24))</f>
        <v>0.72214580467675382</v>
      </c>
      <c r="E226" s="89">
        <f>IF(E$24=0,0,MAX(0,(SUM(E$196:E201)-E$37)/E$24))</f>
        <v>0.71907703344898255</v>
      </c>
      <c r="F226" s="89">
        <f>IF(F$24=0,0,MAX(0,(SUM(F$196:F201)-F$37)/F$24))</f>
        <v>0.71642738097535774</v>
      </c>
      <c r="G226" s="89">
        <f>IF(G$24=0,0,MAX(0,(SUM(G$196:G201)-G$37)/G$24))</f>
        <v>0.71376078807986543</v>
      </c>
      <c r="H226" s="89">
        <f>IF(H$24=0,0,MAX(0,(SUM(H$196:H201)-H$37)/H$24))</f>
        <v>0.71087026193619507</v>
      </c>
      <c r="I226" s="89">
        <f>IF(I$24=0,0,MAX(0,(SUM(I$196:I201)-I$37)/I$24))</f>
        <v>0.70816743908541957</v>
      </c>
      <c r="J226" s="89">
        <f>IF(J$24=0,0,MAX(0,(SUM(J$196:J201)-J$37)/J$24))</f>
        <v>0.70543013280969835</v>
      </c>
      <c r="K226" s="89">
        <f>IF(K$24=0,0,MAX(0,(SUM(K$196:K201)-K$37)/K$24))</f>
        <v>0.70267518546243513</v>
      </c>
      <c r="L226" s="89">
        <f>IF(L$24=0,0,MAX(0,(SUM(L$196:L201)-L$37)/L$24))</f>
        <v>0.69976721301114342</v>
      </c>
      <c r="M226" s="89">
        <f>IF(M$24=0,0,MAX(0,(SUM(M$196:M201)-M$37)/M$24))</f>
        <v>0.69697529573889272</v>
      </c>
      <c r="N226" s="89"/>
      <c r="O226" s="75"/>
    </row>
    <row r="227" spans="1:15" s="75" customFormat="1" x14ac:dyDescent="0.2">
      <c r="A227" s="120"/>
      <c r="B227" s="83"/>
      <c r="C227" s="73"/>
      <c r="D227" s="85"/>
      <c r="E227" s="74"/>
      <c r="F227" s="86"/>
      <c r="G227" s="74"/>
    </row>
    <row r="228" spans="1:15" s="75" customFormat="1" hidden="1" x14ac:dyDescent="0.2">
      <c r="A228" s="120"/>
      <c r="B228" s="83"/>
      <c r="C228" s="73"/>
      <c r="D228" s="85"/>
      <c r="E228" s="74"/>
      <c r="F228" s="86"/>
      <c r="G228" s="74"/>
    </row>
    <row r="229" spans="1:15" hidden="1" x14ac:dyDescent="0.2"/>
    <row r="230" spans="1:15" hidden="1" x14ac:dyDescent="0.2"/>
    <row r="231" spans="1:15" hidden="1" x14ac:dyDescent="0.2"/>
    <row r="232" spans="1:15" hidden="1" x14ac:dyDescent="0.2"/>
    <row r="233" spans="1:15" hidden="1" x14ac:dyDescent="0.2"/>
    <row r="234" spans="1:15" hidden="1" x14ac:dyDescent="0.2"/>
    <row r="235" spans="1:15" hidden="1" x14ac:dyDescent="0.2"/>
    <row r="236" spans="1:15" hidden="1" x14ac:dyDescent="0.2"/>
    <row r="237" spans="1:15" hidden="1" x14ac:dyDescent="0.2"/>
    <row r="238" spans="1:15" hidden="1" x14ac:dyDescent="0.2"/>
    <row r="239" spans="1:15" hidden="1" x14ac:dyDescent="0.2"/>
    <row r="240" spans="1:15"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sheetData>
  <conditionalFormatting sqref="A6:O11 A13:O22 C12:O12 C130:O130 A24:O26 A23:B23 D23:O23 A27:B27 D27:O27 A131:O227 A28:O129">
    <cfRule type="expression" dxfId="6" priority="3">
      <formula>MOD(ROW(),2)=1</formula>
    </cfRule>
  </conditionalFormatting>
  <conditionalFormatting sqref="B130">
    <cfRule type="expression" dxfId="5" priority="2">
      <formula>MOD(ROW(),2)=1</formula>
    </cfRule>
  </conditionalFormatting>
  <conditionalFormatting sqref="A130">
    <cfRule type="expression" dxfId="4" priority="1">
      <formula>MOD(ROW(),2)=1</formula>
    </cfRule>
  </conditionalFormatting>
  <dataValidations count="2">
    <dataValidation type="list" allowBlank="1" showInputMessage="1" showErrorMessage="1" sqref="E15:N15">
      <formula1>$H$2:$H$3</formula1>
    </dataValidation>
    <dataValidation type="list" allowBlank="1" showInputMessage="1" showErrorMessage="1" sqref="C23">
      <formula1>$K$3:$L$3</formula1>
    </dataValidation>
  </dataValidations>
  <pageMargins left="0.39370078740157483" right="0.39370078740157483" top="0.47244094488188981" bottom="0.47244094488188981" header="0.31496062992125984" footer="0.23622047244094491"/>
  <pageSetup paperSize="9" scale="52" fitToHeight="4" orientation="landscape" r:id="rId1"/>
  <headerFooter>
    <oddHeader>&amp;R&amp;G</oddHeader>
    <oddFooter>&amp;L&amp;"-,Cursief"&amp;9Page &amp;P of &amp;N&amp;C&amp;"-,Cursief"&amp;9&amp;F - &amp;A&amp;R&amp;"-,Cursief"&amp;9&amp;D - &amp;T</oddFooter>
  </headerFooter>
  <rowBreaks count="3" manualBreakCount="3">
    <brk id="76" max="13" man="1"/>
    <brk id="128" max="13" man="1"/>
    <brk id="202" max="1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Disclaimer &amp; Usage suggestions</vt:lpstr>
      <vt:lpstr>Overview Properties</vt:lpstr>
      <vt:lpstr>Simplified Model</vt:lpstr>
      <vt:lpstr>'Overview Properties'!Print_Area</vt:lpstr>
      <vt:lpstr>'Simplified Model'!Print_Area</vt:lpstr>
      <vt:lpstr>'Simplified Model'!Print_Titles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Ovium</dc:creator>
  <cp:lastModifiedBy>Ello Dusée</cp:lastModifiedBy>
  <cp:lastPrinted>2014-03-21T10:10:05Z</cp:lastPrinted>
  <dcterms:created xsi:type="dcterms:W3CDTF">2014-03-10T11:53:14Z</dcterms:created>
  <dcterms:modified xsi:type="dcterms:W3CDTF">2014-03-21T10:13:06Z</dcterms:modified>
</cp:coreProperties>
</file>